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Daten\Kunden\STF\Kurse\Kalkulation\"/>
    </mc:Choice>
  </mc:AlternateContent>
  <xr:revisionPtr revIDLastSave="0" documentId="13_ncr:1_{28F1BE73-1407-4A75-B92A-3898340ABB06}" xr6:coauthVersionLast="45" xr6:coauthVersionMax="45" xr10:uidLastSave="{00000000-0000-0000-0000-000000000000}"/>
  <bookViews>
    <workbookView xWindow="31530" yWindow="6090" windowWidth="23040" windowHeight="12195" tabRatio="754" xr2:uid="{00000000-000D-0000-FFFF-FFFF00000000}"/>
  </bookViews>
  <sheets>
    <sheet name="Jahresdaten" sheetId="1" r:id="rId1"/>
    <sheet name="Stundenleistung-Werkstatt" sheetId="2" r:id="rId2"/>
    <sheet name="Personalkosten" sheetId="5" r:id="rId3"/>
    <sheet name="Kostenarten Werkstatt" sheetId="4" r:id="rId4"/>
    <sheet name="SVS Kalkulation" sheetId="3" r:id="rId5"/>
    <sheet name="Potentialberechnung" sheetId="6" r:id="rId6"/>
    <sheet name="Unternehmensgewinn" sheetId="7" r:id="rId7"/>
  </sheets>
  <definedNames>
    <definedName name="_xlnm.Print_Area" localSheetId="0">Jahresdaten!$A$1:$G$44</definedName>
    <definedName name="_xlnm.Print_Area" localSheetId="3">'Kostenarten Werkstatt'!$A$1:$F$110</definedName>
    <definedName name="_xlnm.Print_Area" localSheetId="5">Potentialberechnung!$A$1:$M$72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L24" i="2" l="1"/>
  <c r="B3" i="3"/>
  <c r="B3" i="2"/>
  <c r="M8" i="2" s="1"/>
  <c r="D3" i="4"/>
  <c r="C3" i="4" s="1"/>
  <c r="B3" i="4" s="1"/>
  <c r="C41" i="3"/>
  <c r="I9" i="5"/>
  <c r="D5" i="6"/>
  <c r="D6" i="6"/>
  <c r="D7" i="6"/>
  <c r="D8" i="6"/>
  <c r="D9" i="6"/>
  <c r="D10" i="6"/>
  <c r="D11" i="6"/>
  <c r="D12" i="6"/>
  <c r="G5" i="6"/>
  <c r="G6" i="6"/>
  <c r="G7" i="6"/>
  <c r="G8" i="6"/>
  <c r="G9" i="6"/>
  <c r="G10" i="6"/>
  <c r="G11" i="6"/>
  <c r="H18" i="5"/>
  <c r="J18" i="5"/>
  <c r="I10" i="5"/>
  <c r="I11" i="5"/>
  <c r="I12" i="5"/>
  <c r="I13" i="5"/>
  <c r="I14" i="5"/>
  <c r="I15" i="5"/>
  <c r="C17" i="2"/>
  <c r="I17" i="2" s="1"/>
  <c r="C18" i="2"/>
  <c r="I18" i="2" s="1"/>
  <c r="C19" i="2"/>
  <c r="I19" i="2" s="1"/>
  <c r="C20" i="2"/>
  <c r="I20" i="2" s="1"/>
  <c r="C21" i="2"/>
  <c r="I21" i="2" s="1"/>
  <c r="C22" i="2"/>
  <c r="I22" i="2" s="1"/>
  <c r="C23" i="2"/>
  <c r="I23" i="2" s="1"/>
  <c r="G12" i="6"/>
  <c r="A12" i="6"/>
  <c r="A13" i="6"/>
  <c r="A14" i="6"/>
  <c r="B12" i="6"/>
  <c r="B13" i="6"/>
  <c r="B14" i="6"/>
  <c r="H16" i="5"/>
  <c r="J16" i="5" s="1"/>
  <c r="C12" i="6" s="1"/>
  <c r="E12" i="6" s="1"/>
  <c r="A16" i="5"/>
  <c r="B16" i="5"/>
  <c r="E8" i="1"/>
  <c r="E23" i="1" s="1"/>
  <c r="E28" i="1" s="1"/>
  <c r="F49" i="4"/>
  <c r="F50" i="4"/>
  <c r="F51" i="4"/>
  <c r="F52" i="4"/>
  <c r="F53" i="4"/>
  <c r="F54" i="4"/>
  <c r="F55" i="4"/>
  <c r="D56" i="4"/>
  <c r="B56" i="4"/>
  <c r="D46" i="4"/>
  <c r="F37" i="4"/>
  <c r="F38" i="4"/>
  <c r="F44" i="4"/>
  <c r="F45" i="4"/>
  <c r="B46" i="4"/>
  <c r="D39" i="4"/>
  <c r="B39" i="4"/>
  <c r="D21" i="4"/>
  <c r="B21" i="4"/>
  <c r="B12" i="4"/>
  <c r="D12" i="4"/>
  <c r="F8" i="4"/>
  <c r="F9" i="4"/>
  <c r="F10" i="4"/>
  <c r="F11" i="4"/>
  <c r="F14" i="4"/>
  <c r="F15" i="4"/>
  <c r="F16" i="4"/>
  <c r="F17" i="4"/>
  <c r="F18" i="4"/>
  <c r="F19" i="4"/>
  <c r="F20" i="4"/>
  <c r="F24" i="4"/>
  <c r="F25" i="4"/>
  <c r="F26" i="4"/>
  <c r="F27" i="4"/>
  <c r="F28" i="4"/>
  <c r="F29" i="4"/>
  <c r="F33" i="4"/>
  <c r="F34" i="4"/>
  <c r="F35" i="4"/>
  <c r="F36" i="4"/>
  <c r="F42" i="4"/>
  <c r="F43" i="4"/>
  <c r="F98" i="4"/>
  <c r="F97" i="4"/>
  <c r="F100" i="4" s="1"/>
  <c r="F99" i="4"/>
  <c r="F71" i="4"/>
  <c r="F72" i="4"/>
  <c r="F73" i="4"/>
  <c r="F74" i="4"/>
  <c r="F75" i="4"/>
  <c r="F76" i="4"/>
  <c r="F77" i="4"/>
  <c r="F78" i="4"/>
  <c r="F79" i="4"/>
  <c r="F80" i="4"/>
  <c r="F81" i="4"/>
  <c r="F82" i="4"/>
  <c r="F87" i="4"/>
  <c r="F88" i="4"/>
  <c r="F86" i="4"/>
  <c r="F92" i="4"/>
  <c r="F93" i="4"/>
  <c r="F94" i="4"/>
  <c r="F95" i="4"/>
  <c r="B30" i="4"/>
  <c r="D30" i="4"/>
  <c r="C57" i="4"/>
  <c r="C68" i="4" s="1"/>
  <c r="A68" i="4"/>
  <c r="B83" i="4"/>
  <c r="D83" i="4"/>
  <c r="B89" i="4"/>
  <c r="D89" i="4"/>
  <c r="B96" i="4"/>
  <c r="D96" i="4"/>
  <c r="B100" i="4"/>
  <c r="C100" i="4"/>
  <c r="D100" i="4"/>
  <c r="F101" i="4"/>
  <c r="H17" i="5"/>
  <c r="J17" i="5" s="1"/>
  <c r="H9" i="5"/>
  <c r="J9" i="5" s="1"/>
  <c r="H10" i="5"/>
  <c r="J10" i="5" s="1"/>
  <c r="H11" i="5"/>
  <c r="C7" i="6" s="1"/>
  <c r="E7" i="6" s="1"/>
  <c r="H12" i="5"/>
  <c r="J12" i="5" s="1"/>
  <c r="H13" i="5"/>
  <c r="J13" i="5" s="1"/>
  <c r="H14" i="5"/>
  <c r="C10" i="6" s="1"/>
  <c r="E10" i="6" s="1"/>
  <c r="H15" i="5"/>
  <c r="C11" i="6"/>
  <c r="E11" i="6" s="1"/>
  <c r="H19" i="5"/>
  <c r="J19" i="5" s="1"/>
  <c r="H20" i="5"/>
  <c r="J20" i="5"/>
  <c r="H21" i="5"/>
  <c r="J21" i="5" s="1"/>
  <c r="H22" i="5"/>
  <c r="J22" i="5" s="1"/>
  <c r="H23" i="5"/>
  <c r="J23" i="5" s="1"/>
  <c r="B3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C24" i="5"/>
  <c r="D24" i="5"/>
  <c r="E24" i="5"/>
  <c r="F24" i="5"/>
  <c r="G24" i="5"/>
  <c r="A5" i="6"/>
  <c r="B5" i="6"/>
  <c r="A6" i="6"/>
  <c r="B6" i="6"/>
  <c r="A7" i="6"/>
  <c r="B7" i="6"/>
  <c r="A8" i="6"/>
  <c r="B8" i="6"/>
  <c r="A9" i="6"/>
  <c r="B9" i="6"/>
  <c r="A10" i="6"/>
  <c r="B10" i="6"/>
  <c r="A11" i="6"/>
  <c r="B11" i="6"/>
  <c r="D21" i="6"/>
  <c r="I21" i="6"/>
  <c r="D22" i="6"/>
  <c r="D23" i="6"/>
  <c r="D24" i="6"/>
  <c r="I24" i="6"/>
  <c r="C25" i="6"/>
  <c r="I27" i="6"/>
  <c r="I30" i="6"/>
  <c r="I32" i="6"/>
  <c r="H24" i="2"/>
  <c r="D24" i="2"/>
  <c r="E24" i="2"/>
  <c r="F24" i="2"/>
  <c r="G24" i="2"/>
  <c r="D41" i="7"/>
  <c r="D18" i="7"/>
  <c r="J15" i="5"/>
  <c r="C5" i="6"/>
  <c r="E5" i="6" s="1"/>
  <c r="J14" i="5"/>
  <c r="C6" i="6" l="1"/>
  <c r="E6" i="6" s="1"/>
  <c r="F89" i="4"/>
  <c r="F21" i="4"/>
  <c r="C8" i="6"/>
  <c r="E8" i="6" s="1"/>
  <c r="F30" i="4"/>
  <c r="F83" i="4"/>
  <c r="F12" i="4"/>
  <c r="F56" i="4"/>
  <c r="D57" i="4"/>
  <c r="D68" i="4" s="1"/>
  <c r="D102" i="4" s="1"/>
  <c r="F96" i="4"/>
  <c r="B57" i="4"/>
  <c r="B68" i="4" s="1"/>
  <c r="B102" i="4" s="1"/>
  <c r="H24" i="5"/>
  <c r="F46" i="4"/>
  <c r="F39" i="4"/>
  <c r="C14" i="2"/>
  <c r="I14" i="2" s="1"/>
  <c r="C12" i="2"/>
  <c r="I12" i="2" s="1"/>
  <c r="C13" i="2"/>
  <c r="I13" i="2" s="1"/>
  <c r="C16" i="2"/>
  <c r="I16" i="2" s="1"/>
  <c r="C9" i="2"/>
  <c r="C10" i="2"/>
  <c r="I10" i="2" s="1"/>
  <c r="C11" i="2"/>
  <c r="I11" i="2" s="1"/>
  <c r="E30" i="1"/>
  <c r="C15" i="2"/>
  <c r="I15" i="2" s="1"/>
  <c r="C9" i="6"/>
  <c r="E9" i="6" s="1"/>
  <c r="E16" i="6" s="1"/>
  <c r="J11" i="5"/>
  <c r="J24" i="5" s="1"/>
  <c r="C8" i="3" s="1"/>
  <c r="C16" i="6" l="1"/>
  <c r="F57" i="4"/>
  <c r="F68" i="4" s="1"/>
  <c r="F102" i="4" s="1"/>
  <c r="C9" i="3" s="1"/>
  <c r="C10" i="3" s="1"/>
  <c r="K3" i="2"/>
  <c r="F37" i="1"/>
  <c r="C24" i="2"/>
  <c r="I24" i="2" s="1"/>
  <c r="I9" i="2"/>
  <c r="K16" i="5"/>
  <c r="E10" i="3" l="1"/>
  <c r="D32" i="7"/>
  <c r="K17" i="2"/>
  <c r="M17" i="2" s="1"/>
  <c r="K20" i="2"/>
  <c r="M20" i="2" s="1"/>
  <c r="K19" i="2"/>
  <c r="M19" i="2" s="1"/>
  <c r="K23" i="2"/>
  <c r="M23" i="2" s="1"/>
  <c r="K22" i="2"/>
  <c r="M22" i="2" s="1"/>
  <c r="K21" i="2"/>
  <c r="M21" i="2" s="1"/>
  <c r="K18" i="2"/>
  <c r="M18" i="2" s="1"/>
  <c r="K15" i="2"/>
  <c r="K10" i="2"/>
  <c r="K16" i="2"/>
  <c r="K13" i="2"/>
  <c r="K11" i="2"/>
  <c r="K12" i="2"/>
  <c r="K14" i="2"/>
  <c r="K9" i="2"/>
  <c r="F5" i="6" l="1"/>
  <c r="H5" i="6" s="1"/>
  <c r="M9" i="2"/>
  <c r="K24" i="2"/>
  <c r="M14" i="2"/>
  <c r="F10" i="6"/>
  <c r="H10" i="6" s="1"/>
  <c r="F11" i="6"/>
  <c r="H11" i="6" s="1"/>
  <c r="M15" i="2"/>
  <c r="M12" i="2"/>
  <c r="F8" i="6"/>
  <c r="H8" i="6" s="1"/>
  <c r="F9" i="6"/>
  <c r="H9" i="6" s="1"/>
  <c r="M13" i="2"/>
  <c r="F12" i="6"/>
  <c r="M16" i="2"/>
  <c r="H12" i="6" s="1"/>
  <c r="M11" i="2"/>
  <c r="F7" i="6"/>
  <c r="H7" i="6" s="1"/>
  <c r="M10" i="2"/>
  <c r="F6" i="6"/>
  <c r="M24" i="2" l="1"/>
  <c r="C13" i="3" s="1"/>
  <c r="K26" i="2"/>
  <c r="H6" i="6"/>
  <c r="H16" i="6" s="1"/>
  <c r="F16" i="6"/>
  <c r="G16" i="6" l="1"/>
  <c r="E36" i="3"/>
  <c r="D30" i="7" s="1"/>
  <c r="C16" i="3"/>
  <c r="D16" i="3" l="1"/>
  <c r="D9" i="7" s="1"/>
  <c r="C22" i="3"/>
  <c r="D22" i="3" s="1"/>
  <c r="L24" i="6"/>
  <c r="L26" i="6"/>
  <c r="L27" i="6"/>
  <c r="L25" i="6"/>
  <c r="L29" i="6"/>
  <c r="L19" i="6"/>
  <c r="L30" i="6"/>
  <c r="L20" i="6"/>
  <c r="L22" i="6"/>
  <c r="L28" i="6"/>
  <c r="L23" i="6"/>
  <c r="L21" i="6"/>
  <c r="C24" i="3" l="1"/>
  <c r="C26" i="3" s="1"/>
  <c r="D26" i="3" s="1"/>
  <c r="L32" i="6"/>
  <c r="E32" i="6" s="1"/>
  <c r="D24" i="3" l="1"/>
  <c r="I6" i="6"/>
  <c r="I10" i="6"/>
  <c r="I7" i="6"/>
  <c r="I11" i="6"/>
  <c r="I8" i="6"/>
  <c r="I12" i="6"/>
  <c r="I9" i="6"/>
  <c r="I5" i="6"/>
  <c r="D28" i="3"/>
  <c r="C28" i="3"/>
  <c r="C30" i="3" l="1"/>
  <c r="D30" i="3" s="1"/>
  <c r="D32" i="3" s="1"/>
  <c r="C32" i="3" l="1"/>
  <c r="C34" i="3" l="1"/>
  <c r="C36" i="3" s="1"/>
  <c r="J12" i="6" l="1"/>
  <c r="J5" i="6"/>
  <c r="D36" i="3"/>
  <c r="D7" i="7" s="1"/>
  <c r="D10" i="7" s="1"/>
  <c r="D20" i="7" s="1"/>
  <c r="D24" i="7" s="1"/>
  <c r="J6" i="6"/>
  <c r="J7" i="6"/>
  <c r="J8" i="6"/>
  <c r="J9" i="6"/>
  <c r="J10" i="6"/>
  <c r="J11" i="6"/>
  <c r="D34" i="3"/>
  <c r="D8" i="7" s="1"/>
  <c r="D31" i="7"/>
  <c r="D33" i="7" s="1"/>
  <c r="D43" i="7" s="1"/>
  <c r="D48" i="7" s="1"/>
  <c r="L5" i="6" l="1"/>
  <c r="M5" i="6" s="1"/>
  <c r="K5" i="6"/>
  <c r="J16" i="6"/>
  <c r="I16" i="6" s="1"/>
  <c r="K10" i="6"/>
  <c r="L10" i="6"/>
  <c r="M10" i="6" s="1"/>
  <c r="L9" i="6"/>
  <c r="M9" i="6" s="1"/>
  <c r="K9" i="6"/>
  <c r="L8" i="6"/>
  <c r="M8" i="6" s="1"/>
  <c r="K8" i="6"/>
  <c r="L7" i="6"/>
  <c r="M7" i="6" s="1"/>
  <c r="K7" i="6"/>
  <c r="L6" i="6"/>
  <c r="M6" i="6" s="1"/>
  <c r="K6" i="6"/>
  <c r="K11" i="6"/>
  <c r="L11" i="6"/>
  <c r="M11" i="6" s="1"/>
  <c r="K12" i="6"/>
  <c r="L12" i="6"/>
  <c r="M12" i="6" s="1"/>
  <c r="J26" i="6" l="1"/>
  <c r="J23" i="6"/>
  <c r="J25" i="6"/>
  <c r="K16" i="6"/>
  <c r="J21" i="6"/>
  <c r="J19" i="6"/>
  <c r="J24" i="6"/>
  <c r="L16" i="6"/>
  <c r="M16" i="6" s="1"/>
  <c r="J27" i="6"/>
  <c r="J30" i="6"/>
  <c r="E29" i="6"/>
  <c r="J29" i="6"/>
  <c r="J22" i="6"/>
  <c r="J20" i="6"/>
  <c r="J28" i="6"/>
  <c r="B20" i="6"/>
  <c r="D20" i="6" s="1"/>
  <c r="D25" i="6" s="1"/>
  <c r="J3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Pfister</author>
  </authors>
  <commentList>
    <comment ref="F3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Hans Pfister:</t>
        </r>
        <r>
          <rPr>
            <sz val="8"/>
            <color indexed="81"/>
            <rFont val="Tahoma"/>
            <family val="2"/>
          </rPr>
          <t xml:space="preserve">
Dieser Wert wird für die weitere Berechnung benötigt. Bitte Feld nicht löschen!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Pfister</author>
  </authors>
  <commentList>
    <comment ref="C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Hans Pfister:</t>
        </r>
        <r>
          <rPr>
            <sz val="8"/>
            <color indexed="81"/>
            <rFont val="Tahoma"/>
            <family val="2"/>
          </rPr>
          <t xml:space="preserve">
Bruttolohn Mitarbeiter inkl. Sozialleistungen Mitarbeiter</t>
        </r>
      </text>
    </comment>
    <comment ref="D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Hans Pfister:</t>
        </r>
        <r>
          <rPr>
            <sz val="8"/>
            <color indexed="81"/>
            <rFont val="Tahoma"/>
            <family val="2"/>
          </rPr>
          <t xml:space="preserve">
13. Monatslohn inkl. Sozialleistungen Mitarbeiter</t>
        </r>
      </text>
    </comment>
    <comment ref="G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Hans Pfister:</t>
        </r>
        <r>
          <rPr>
            <sz val="8"/>
            <color indexed="81"/>
            <rFont val="Tahoma"/>
            <family val="2"/>
          </rPr>
          <t xml:space="preserve">
Sozialleistungen Arbeitgeberanteil</t>
        </r>
      </text>
    </comment>
    <comment ref="I6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Hans Pfister:</t>
        </r>
        <r>
          <rPr>
            <sz val="8"/>
            <color indexed="81"/>
            <rFont val="Tahoma"/>
            <family val="2"/>
          </rPr>
          <t xml:space="preserve">
% Satz wenn der Mitarbeiter für andere Abteilungen arbeitet</t>
        </r>
      </text>
    </comment>
    <comment ref="D32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Hans Pfister:</t>
        </r>
        <r>
          <rPr>
            <sz val="8"/>
            <color indexed="81"/>
            <rFont val="Tahoma"/>
            <family val="2"/>
          </rPr>
          <t xml:space="preserve">
Die Administration wird anteilsmässig mitberechnet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KurtZihlmann</author>
  </authors>
  <commentList>
    <comment ref="A27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
Achtung:
Hier dürfen keine Lackmaterialkosten enthalten sein, da diese separat errechnet und auf der Rechnung aufgeführt werden.</t>
        </r>
      </text>
    </comment>
    <comment ref="A51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
Achtung:
Hier dürfen keine Lackmaterialkosten enthalten sein, da diese separat errechnet und auf der Rechnung aufgeführt werden.</t>
        </r>
      </text>
    </comment>
    <comment ref="A52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
Falls die Entsorgung hier im Verrechnungslohn enthalten ist, darf sie auf der Rechnung nicht separat aufgeführt werden.</t>
        </r>
      </text>
    </comment>
    <comment ref="A53" authorId="0" shapeId="0" xr:uid="{00000000-0006-0000-0300-000004000000}">
      <text>
        <r>
          <rPr>
            <sz val="8"/>
            <color indexed="81"/>
            <rFont val="Tahoma"/>
            <family val="2"/>
          </rPr>
          <t xml:space="preserve">
Achtung:
Hier dürfen keine Lackmaterialkosten enthalten sein, da diese separat errechnet und auf der Rechnung aufegführt werden</t>
        </r>
      </text>
    </comment>
  </commentList>
</comments>
</file>

<file path=xl/sharedStrings.xml><?xml version="1.0" encoding="utf-8"?>
<sst xmlns="http://schemas.openxmlformats.org/spreadsheetml/2006/main" count="348" uniqueCount="264">
  <si>
    <t>Jahr:</t>
  </si>
  <si>
    <t>Kalendertage im Jahr</t>
  </si>
  <si>
    <t>Samstage und Sonntage im Jahr</t>
  </si>
  <si>
    <t>Zwischensumme</t>
  </si>
  <si>
    <t xml:space="preserve"> </t>
  </si>
  <si>
    <t>Feiertage, die auf einen Wochentag fallen</t>
  </si>
  <si>
    <t>Arbeitstage Jahr</t>
  </si>
  <si>
    <t>Bezahlte</t>
  </si>
  <si>
    <t>Arbeits-Std.</t>
  </si>
  <si>
    <t>Abzüglich</t>
  </si>
  <si>
    <t>Ergebnis</t>
  </si>
  <si>
    <t>Mitarbeiter</t>
  </si>
  <si>
    <t>Funktion</t>
  </si>
  <si>
    <t>Arbeitstage</t>
  </si>
  <si>
    <t>Krankheit</t>
  </si>
  <si>
    <t>Anwesenheit in Std.</t>
  </si>
  <si>
    <t>Name</t>
  </si>
  <si>
    <t>Jahr</t>
  </si>
  <si>
    <t>Tage x Std. pro Tag</t>
  </si>
  <si>
    <t>Gesamt</t>
  </si>
  <si>
    <t>Anwesen</t>
  </si>
  <si>
    <t>heitstage</t>
  </si>
  <si>
    <t>Faktor</t>
  </si>
  <si>
    <t>geplante</t>
  </si>
  <si>
    <t>Produktivstd.</t>
  </si>
  <si>
    <t xml:space="preserve">Funktion </t>
  </si>
  <si>
    <t>Kürzel</t>
  </si>
  <si>
    <t>Lehrling 1.Jahr</t>
  </si>
  <si>
    <t>Lehrling 2.Jahr</t>
  </si>
  <si>
    <t>Lehrling 3.Jahr</t>
  </si>
  <si>
    <t>Lehrling 4.Jahr</t>
  </si>
  <si>
    <t>LE 1</t>
  </si>
  <si>
    <t>LE 2</t>
  </si>
  <si>
    <t>LE 3</t>
  </si>
  <si>
    <t>LE 4</t>
  </si>
  <si>
    <t xml:space="preserve">Produktiv </t>
  </si>
  <si>
    <t xml:space="preserve">Jahr: </t>
  </si>
  <si>
    <t>A</t>
  </si>
  <si>
    <t>B</t>
  </si>
  <si>
    <t>C</t>
  </si>
  <si>
    <t>D</t>
  </si>
  <si>
    <t>E</t>
  </si>
  <si>
    <t>A+B+C+D+E</t>
  </si>
  <si>
    <t>Bruttolohn</t>
  </si>
  <si>
    <t>Personalkosten</t>
  </si>
  <si>
    <t>Anteil</t>
  </si>
  <si>
    <t>gesamt</t>
  </si>
  <si>
    <t>Werkstatt</t>
  </si>
  <si>
    <t>%</t>
  </si>
  <si>
    <t>AD</t>
  </si>
  <si>
    <t>Gesamtkosten</t>
  </si>
  <si>
    <t>Geplante</t>
  </si>
  <si>
    <t>Kostenart</t>
  </si>
  <si>
    <t>des Vorjahrs</t>
  </si>
  <si>
    <t>Werkstattkosten</t>
  </si>
  <si>
    <t>Miete / Pacht</t>
  </si>
  <si>
    <t>Gesamte Raumkosten</t>
  </si>
  <si>
    <t>Reisekosten / Schulung</t>
  </si>
  <si>
    <t>Personalkosten Werkstatt</t>
  </si>
  <si>
    <t>Gesamtkosten Werkstatt</t>
  </si>
  <si>
    <t>=</t>
  </si>
  <si>
    <t xml:space="preserve"> Jahr :  </t>
  </si>
  <si>
    <t>JAHRESDATEN</t>
  </si>
  <si>
    <t>1) 2. Januar</t>
  </si>
  <si>
    <t>2) Karfreitag</t>
  </si>
  <si>
    <t>3) Ostermontag</t>
  </si>
  <si>
    <t>Durchschnittliche Anwesenheit pro Jahr ( Std.) :</t>
  </si>
  <si>
    <t>LE1</t>
  </si>
  <si>
    <t>LE2</t>
  </si>
  <si>
    <t>LE3</t>
  </si>
  <si>
    <t>LE4</t>
  </si>
  <si>
    <t>Ferien</t>
  </si>
  <si>
    <t>Militär/ZS</t>
  </si>
  <si>
    <t>je nach Einsatz Produktiv von 0 bis 140 (wenn Lehrling mitarbeiten und nicht separiert sind)</t>
  </si>
  <si>
    <t>Abwesenheit</t>
  </si>
  <si>
    <t>unbezahlt</t>
  </si>
  <si>
    <t>gemäß Jahresdaten</t>
  </si>
  <si>
    <t>Raumkosten</t>
  </si>
  <si>
    <t>bis und mit Q.3</t>
  </si>
  <si>
    <t>Weitere Kosten Werkstatt</t>
  </si>
  <si>
    <t>Kundendienstberater</t>
  </si>
  <si>
    <t>KDB (CRM)</t>
  </si>
  <si>
    <t>WE</t>
  </si>
  <si>
    <t>Administration</t>
  </si>
  <si>
    <t>Sozialab-</t>
  </si>
  <si>
    <t>gaben</t>
  </si>
  <si>
    <t>13./14. Monats-</t>
  </si>
  <si>
    <t>lohn</t>
  </si>
  <si>
    <t>Bonus</t>
  </si>
  <si>
    <t>Dienstwagen</t>
  </si>
  <si>
    <t>alle</t>
  </si>
  <si>
    <t>Naturalanteil</t>
  </si>
  <si>
    <t>Mehrwertsteuersatz Schweiz</t>
  </si>
  <si>
    <t>Bezahlte Arbeitsstunden im Betrieb sind</t>
  </si>
  <si>
    <t>= grün erfordert Eingabe</t>
  </si>
  <si>
    <t>in WE</t>
  </si>
  <si>
    <t>Ausbildung</t>
  </si>
  <si>
    <t>WE Kosten</t>
  </si>
  <si>
    <t>Kosten p.a.</t>
  </si>
  <si>
    <t>Soll produktive Stunden der Werkstatt</t>
  </si>
  <si>
    <t>Selbstkosten pro Stunde</t>
  </si>
  <si>
    <t>( Gesamtkosten : Soll produktive Stunden der WE )</t>
  </si>
  <si>
    <t>4) Auffahrt</t>
  </si>
  <si>
    <t>5) Pfingstmontag</t>
  </si>
  <si>
    <t xml:space="preserve">8) </t>
  </si>
  <si>
    <t xml:space="preserve">10) </t>
  </si>
  <si>
    <t>9)</t>
  </si>
  <si>
    <t>11)</t>
  </si>
  <si>
    <t xml:space="preserve">12) </t>
  </si>
  <si>
    <t>13)</t>
  </si>
  <si>
    <t>Werkmeister</t>
  </si>
  <si>
    <t>Spengler</t>
  </si>
  <si>
    <t>Lackierer</t>
  </si>
  <si>
    <t>SP</t>
  </si>
  <si>
    <t>LA</t>
  </si>
  <si>
    <t>Leiter Spenglerei</t>
  </si>
  <si>
    <t>Leiter Lackiererei</t>
  </si>
  <si>
    <t>Hilfskraft</t>
  </si>
  <si>
    <t>HK</t>
  </si>
  <si>
    <t>LL</t>
  </si>
  <si>
    <t>LS</t>
  </si>
  <si>
    <t>Lehrlinge über alles im Schnitt 30 bis 35 %</t>
  </si>
  <si>
    <t>Sonstiger Personalaufwand</t>
  </si>
  <si>
    <t>Personalnebenkosten</t>
  </si>
  <si>
    <t>Gesamt sonstiger Personalaufwand</t>
  </si>
  <si>
    <t>Unterhalt Büroeinrichtung</t>
  </si>
  <si>
    <t>Unterhalt EDV-Anlage</t>
  </si>
  <si>
    <t>Unterhalt / Ersatz Werkzeuge</t>
  </si>
  <si>
    <t>Unterhalt u. Betrieb Fahrzeuge</t>
  </si>
  <si>
    <t>Autoversicherungen</t>
  </si>
  <si>
    <t>Fahrzeugsteuern</t>
  </si>
  <si>
    <t>Sachversicherungen</t>
  </si>
  <si>
    <t>Betriebshaftpflichtversicherung</t>
  </si>
  <si>
    <t>Diverser Betriebsaufwand</t>
  </si>
  <si>
    <t>Strom und Wasser</t>
  </si>
  <si>
    <t>Reinigungsmaterial</t>
  </si>
  <si>
    <t>Unterhalt und Reparaturen von Betriebseinrichtungen</t>
  </si>
  <si>
    <t>Unterhalt Einrichtungen Werkstatt</t>
  </si>
  <si>
    <t>Büro- und Verwaltungsaufwand</t>
  </si>
  <si>
    <t>Büromaterial und Drucksachen</t>
  </si>
  <si>
    <t>Fachliteratur und Zeitschriften</t>
  </si>
  <si>
    <t>Porti und Postcheckgebühren</t>
  </si>
  <si>
    <t>Telefon, Fax</t>
  </si>
  <si>
    <t>Trinkgelder, Spenden, Beiträge</t>
  </si>
  <si>
    <t>Rechts- und Beratungsaufwand</t>
  </si>
  <si>
    <t>Revisionshonorare</t>
  </si>
  <si>
    <t>EDV, Support- u. Schulung</t>
  </si>
  <si>
    <t>Verbandsbeiträge</t>
  </si>
  <si>
    <t>Inkassospesen und Auskünfte</t>
  </si>
  <si>
    <t>Div. Büro- u. Verwaltungsaufw.</t>
  </si>
  <si>
    <t>Reisespesen, Geschäftsleitung</t>
  </si>
  <si>
    <t>Allgemeine Werbung</t>
  </si>
  <si>
    <t>Sonstiger Verkaufsaufwand</t>
  </si>
  <si>
    <t>Garantie und Kulanz</t>
  </si>
  <si>
    <t>Kunden- u. Akquisitionsspesen</t>
  </si>
  <si>
    <t>Provisionen an Dritte</t>
  </si>
  <si>
    <t>Allgemeiner Verkaufsaufwand</t>
  </si>
  <si>
    <t>Werbung und Marketing</t>
  </si>
  <si>
    <t>Total Sonstiger Verkaufsaufwand</t>
  </si>
  <si>
    <t>Total Werbung und Marketing</t>
  </si>
  <si>
    <t>Total Büro- und Verwaltungsaufwand</t>
  </si>
  <si>
    <t>Total Diverser Betriebsaufwand</t>
  </si>
  <si>
    <t>Total Sachversicherungen</t>
  </si>
  <si>
    <t>Total Unterhalt u. Betrieb Fahrzeuge</t>
  </si>
  <si>
    <t>Total Unterhalt</t>
  </si>
  <si>
    <t>Total Kosten Werkstatt</t>
  </si>
  <si>
    <t>Gewinnzuschlag pro Std. in %</t>
  </si>
  <si>
    <t>Rabatte</t>
  </si>
  <si>
    <t>Chef</t>
  </si>
  <si>
    <t>Jahressalär brutto</t>
  </si>
  <si>
    <t>Präsenz h / J</t>
  </si>
  <si>
    <t>Ziel-Prod. %</t>
  </si>
  <si>
    <t>Ziel-verkauf  h / J</t>
  </si>
  <si>
    <t>Plan-h-Satz Ø CHF</t>
  </si>
  <si>
    <t>Zielumsatz CHF</t>
  </si>
  <si>
    <t>Ertrags-index</t>
  </si>
  <si>
    <t>Brutto-gewinn %</t>
  </si>
  <si>
    <t>Kommentar</t>
  </si>
  <si>
    <t>Ø</t>
  </si>
  <si>
    <t xml:space="preserve">Sollwerte </t>
  </si>
  <si>
    <t>Verrechnungslohn Mittelwert gewichtet</t>
  </si>
  <si>
    <t>Monat</t>
  </si>
  <si>
    <t>Flow</t>
  </si>
  <si>
    <t>Umsatz / Mt</t>
  </si>
  <si>
    <t>Art</t>
  </si>
  <si>
    <t>CHF / h</t>
  </si>
  <si>
    <t>Mix %</t>
  </si>
  <si>
    <t>Gewicht</t>
  </si>
  <si>
    <t>Extern 1</t>
  </si>
  <si>
    <t>Extern 2</t>
  </si>
  <si>
    <t>Extern 3</t>
  </si>
  <si>
    <t>Intern</t>
  </si>
  <si>
    <t>Garantie</t>
  </si>
  <si>
    <t>Ø gewichteter Verrechnungssatz</t>
  </si>
  <si>
    <t>Saläranteil Werkstatt</t>
  </si>
  <si>
    <t>Abschreibungen an Einrichtungen</t>
  </si>
  <si>
    <t>Zinsen auf Betriebsanlagen</t>
  </si>
  <si>
    <t>Nutzschwelle (Auslastung)</t>
  </si>
  <si>
    <t>Zinskosten Darlehen</t>
  </si>
  <si>
    <t>Geplante Einnahmen aus Arbeit</t>
  </si>
  <si>
    <t>geplanter Aufwand Einkauf Ersatzteile</t>
  </si>
  <si>
    <t>geplanter Erlös Verkauf Ersatzteile</t>
  </si>
  <si>
    <t>Unternehmensgewinn</t>
  </si>
  <si>
    <t>Geplante Kosten Werkstatt</t>
  </si>
  <si>
    <t>Geplanter Gewinn aus Arbeit</t>
  </si>
  <si>
    <t>Geplanter Gewinn aus Ersatzteilen</t>
  </si>
  <si>
    <t>Rückstellung</t>
  </si>
  <si>
    <t>Geplante Einnahmen aus Arbeit mit Wunschsatz</t>
  </si>
  <si>
    <t>Berechnung mit Wunschsatz</t>
  </si>
  <si>
    <t>Markus Boss 1/2</t>
  </si>
  <si>
    <t>Marion Hohlehand 1/2</t>
  </si>
  <si>
    <t>Verfügbar-keit Werkstatt</t>
  </si>
  <si>
    <t>Anwesenheit pro Tag, netto ohne Pausen</t>
  </si>
  <si>
    <t>Std./ Woche</t>
  </si>
  <si>
    <t>Eigenkapitalverzinsung</t>
  </si>
  <si>
    <t>Abschreibung Gebäude</t>
  </si>
  <si>
    <t>Instandhaltung Pflege</t>
  </si>
  <si>
    <t>Interne Fahrzeuge</t>
  </si>
  <si>
    <t>Abschreibungen Fahrzeuge</t>
  </si>
  <si>
    <t>Heizöl</t>
  </si>
  <si>
    <t>Abfallentsorgungskosten</t>
  </si>
  <si>
    <t>Geplante Erlösminderung durch Rabatte, aus Arbeit</t>
  </si>
  <si>
    <t>Geplante Erlösminderung auf Rabatte Ersatzteile</t>
  </si>
  <si>
    <t>Geplante Erlösminderung Provision / Delkredere</t>
  </si>
  <si>
    <t>Betriebsgewinn</t>
  </si>
  <si>
    <t>Nebenerlös</t>
  </si>
  <si>
    <t>Berechnung mit kalkuliertem Satz</t>
  </si>
  <si>
    <t>Gerd Mechanikus</t>
  </si>
  <si>
    <t>Fritz Schrauber</t>
  </si>
  <si>
    <t>ME</t>
  </si>
  <si>
    <t>Hans Kurzer</t>
  </si>
  <si>
    <t>EL</t>
  </si>
  <si>
    <t>Walter Wechsler</t>
  </si>
  <si>
    <t>MO</t>
  </si>
  <si>
    <t>Peter Blitzblank</t>
  </si>
  <si>
    <t>Richard Tester</t>
  </si>
  <si>
    <t>DI</t>
  </si>
  <si>
    <t>Julius Besen</t>
  </si>
  <si>
    <t>STUNDENLEISTUNG DER PRODUKTIVEN MITARBEITER WERKSTATT</t>
  </si>
  <si>
    <t>LOHNKOSTEN MITARBEITER WERKSTATT</t>
  </si>
  <si>
    <t>Werbung Werkstatt</t>
  </si>
  <si>
    <t>Werbung Verkauf</t>
  </si>
  <si>
    <t>KOSTENARTEN ZUWEISUNG WERKSTATT</t>
  </si>
  <si>
    <t>KALKULATION STUNDENVERRECHNUNGSSATZ WERKSTATT</t>
  </si>
  <si>
    <t>Unternehmensgewinn Werkstatt</t>
  </si>
  <si>
    <t>Potentialberechnung Werkstatt</t>
  </si>
  <si>
    <t>René Hammer</t>
  </si>
  <si>
    <t>Stundensatz inkl. Gewinn (Nettoerlös)</t>
  </si>
  <si>
    <t>Pro Jahr</t>
  </si>
  <si>
    <t>Frei gewählter Stundensatz ohne MWSt</t>
  </si>
  <si>
    <t>Frei gewählter Satz</t>
  </si>
  <si>
    <t>Umsatz / Mit frei gewähltem Satz</t>
  </si>
  <si>
    <t>Verfügbarkeit Werkstatt</t>
  </si>
  <si>
    <t>Frei gewählterStundensatz mit MWSt</t>
  </si>
  <si>
    <t>Skonto</t>
  </si>
  <si>
    <t>Stundensatz inkl. MWSt (Zahlung)</t>
  </si>
  <si>
    <t>Rechnung</t>
  </si>
  <si>
    <t>Brutto Stundensatz</t>
  </si>
  <si>
    <t>Nutzschwelle (Auslastung) bei frei gewähltem Satz</t>
  </si>
  <si>
    <t>Leistungsgrad</t>
  </si>
  <si>
    <t>Verhältnis Anwesenheit zu geplante Stunden in %</t>
  </si>
  <si>
    <t>7) Chilbimontag</t>
  </si>
  <si>
    <t>6) 1. Mai</t>
  </si>
  <si>
    <t>Kostenindex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</si>
</sst>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&quot; &quot;"/>
    <numFmt numFmtId="165" formatCode="#,##0&quot; &quot;"/>
    <numFmt numFmtId="166" formatCode="###0&quot; &quot;"/>
    <numFmt numFmtId="167" formatCode="#,##0.00&quot; &quot;"/>
    <numFmt numFmtId="168" formatCode="0.0"/>
    <numFmt numFmtId="169" formatCode="&quot;SFr.&quot;\ #,##0.00"/>
  </numFmts>
  <fonts count="29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olvoSans"/>
    </font>
    <font>
      <b/>
      <sz val="10"/>
      <name val="VolvoSans"/>
    </font>
    <font>
      <sz val="2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40" fontId="1" fillId="0" borderId="0"/>
  </cellStyleXfs>
  <cellXfs count="362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0" xfId="0" applyFont="1" applyFill="1" applyProtection="1">
      <protection locked="0"/>
    </xf>
    <xf numFmtId="0" fontId="6" fillId="0" borderId="0" xfId="0" applyFont="1" applyFill="1"/>
    <xf numFmtId="165" fontId="6" fillId="0" borderId="1" xfId="0" applyNumberFormat="1" applyFont="1" applyFill="1" applyBorder="1"/>
    <xf numFmtId="10" fontId="6" fillId="2" borderId="2" xfId="0" applyNumberFormat="1" applyFont="1" applyFill="1" applyBorder="1" applyProtection="1">
      <protection locked="0"/>
    </xf>
    <xf numFmtId="4" fontId="6" fillId="0" borderId="1" xfId="0" applyNumberFormat="1" applyFont="1" applyFill="1" applyBorder="1"/>
    <xf numFmtId="10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165" fontId="7" fillId="0" borderId="5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Protection="1">
      <protection locked="0"/>
    </xf>
    <xf numFmtId="165" fontId="6" fillId="0" borderId="7" xfId="0" applyNumberFormat="1" applyFont="1" applyFill="1" applyBorder="1"/>
    <xf numFmtId="165" fontId="6" fillId="0" borderId="2" xfId="0" applyNumberFormat="1" applyFont="1" applyFill="1" applyBorder="1" applyProtection="1">
      <protection locked="0"/>
    </xf>
    <xf numFmtId="165" fontId="6" fillId="0" borderId="0" xfId="0" applyNumberFormat="1" applyFont="1" applyFill="1" applyBorder="1"/>
    <xf numFmtId="165" fontId="6" fillId="0" borderId="3" xfId="0" applyNumberFormat="1" applyFont="1" applyFill="1" applyBorder="1" applyAlignment="1">
      <alignment horizontal="centerContinuous"/>
    </xf>
    <xf numFmtId="165" fontId="6" fillId="0" borderId="2" xfId="0" applyNumberFormat="1" applyFont="1" applyFill="1" applyBorder="1"/>
    <xf numFmtId="165" fontId="6" fillId="0" borderId="8" xfId="0" applyNumberFormat="1" applyFont="1" applyFill="1" applyBorder="1" applyAlignment="1">
      <alignment horizontal="centerContinuous"/>
    </xf>
    <xf numFmtId="167" fontId="4" fillId="2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/>
    <xf numFmtId="0" fontId="5" fillId="0" borderId="0" xfId="0" applyFont="1" applyFill="1"/>
    <xf numFmtId="165" fontId="4" fillId="0" borderId="0" xfId="0" applyNumberFormat="1" applyFont="1" applyFill="1"/>
    <xf numFmtId="0" fontId="4" fillId="0" borderId="0" xfId="0" applyFont="1" applyFill="1"/>
    <xf numFmtId="0" fontId="5" fillId="0" borderId="5" xfId="0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165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4" fillId="2" borderId="2" xfId="0" applyNumberFormat="1" applyFont="1" applyFill="1" applyBorder="1" applyProtection="1">
      <protection locked="0"/>
    </xf>
    <xf numFmtId="10" fontId="4" fillId="2" borderId="2" xfId="0" applyNumberFormat="1" applyFont="1" applyFill="1" applyBorder="1" applyProtection="1">
      <protection locked="0"/>
    </xf>
    <xf numFmtId="165" fontId="4" fillId="0" borderId="2" xfId="0" applyNumberFormat="1" applyFont="1" applyFill="1" applyBorder="1"/>
    <xf numFmtId="0" fontId="5" fillId="0" borderId="9" xfId="0" applyFont="1" applyFill="1" applyBorder="1"/>
    <xf numFmtId="165" fontId="4" fillId="0" borderId="1" xfId="0" applyNumberFormat="1" applyFont="1" applyFill="1" applyBorder="1"/>
    <xf numFmtId="10" fontId="4" fillId="0" borderId="1" xfId="0" applyNumberFormat="1" applyFont="1" applyFill="1" applyBorder="1"/>
    <xf numFmtId="165" fontId="4" fillId="0" borderId="7" xfId="0" applyNumberFormat="1" applyFont="1" applyFill="1" applyBorder="1"/>
    <xf numFmtId="10" fontId="4" fillId="0" borderId="7" xfId="0" applyNumberFormat="1" applyFont="1" applyFill="1" applyBorder="1"/>
    <xf numFmtId="0" fontId="5" fillId="0" borderId="1" xfId="0" applyFont="1" applyFill="1" applyBorder="1"/>
    <xf numFmtId="165" fontId="4" fillId="0" borderId="0" xfId="0" applyNumberFormat="1" applyFont="1" applyFill="1" applyBorder="1"/>
    <xf numFmtId="0" fontId="4" fillId="0" borderId="0" xfId="0" applyFont="1"/>
    <xf numFmtId="0" fontId="5" fillId="0" borderId="10" xfId="0" applyFont="1" applyBorder="1"/>
    <xf numFmtId="0" fontId="5" fillId="2" borderId="10" xfId="0" applyFont="1" applyFill="1" applyBorder="1" applyAlignment="1">
      <alignment horizontal="left"/>
    </xf>
    <xf numFmtId="0" fontId="4" fillId="0" borderId="0" xfId="0" applyFont="1" applyBorder="1"/>
    <xf numFmtId="4" fontId="4" fillId="0" borderId="0" xfId="0" applyNumberFormat="1" applyFont="1" applyBorder="1"/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Border="1"/>
    <xf numFmtId="0" fontId="4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/>
    <xf numFmtId="0" fontId="4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165" fontId="4" fillId="2" borderId="9" xfId="0" applyNumberFormat="1" applyFont="1" applyFill="1" applyBorder="1" applyProtection="1">
      <protection locked="0"/>
    </xf>
    <xf numFmtId="165" fontId="4" fillId="0" borderId="11" xfId="0" applyNumberFormat="1" applyFont="1" applyBorder="1"/>
    <xf numFmtId="9" fontId="4" fillId="2" borderId="9" xfId="0" applyNumberFormat="1" applyFont="1" applyFill="1" applyBorder="1" applyProtection="1">
      <protection locked="0"/>
    </xf>
    <xf numFmtId="165" fontId="4" fillId="0" borderId="9" xfId="0" applyNumberFormat="1" applyFont="1" applyBorder="1"/>
    <xf numFmtId="0" fontId="5" fillId="0" borderId="1" xfId="0" applyFont="1" applyBorder="1"/>
    <xf numFmtId="165" fontId="4" fillId="0" borderId="1" xfId="0" applyNumberFormat="1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4" xfId="0" applyFont="1" applyBorder="1"/>
    <xf numFmtId="0" fontId="4" fillId="0" borderId="8" xfId="0" applyFont="1" applyBorder="1"/>
    <xf numFmtId="0" fontId="4" fillId="0" borderId="4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5" fillId="2" borderId="10" xfId="0" applyFont="1" applyFill="1" applyBorder="1" applyAlignment="1" applyProtection="1">
      <alignment horizontal="left"/>
      <protection locked="0"/>
    </xf>
    <xf numFmtId="0" fontId="4" fillId="0" borderId="3" xfId="0" applyFont="1" applyBorder="1"/>
    <xf numFmtId="2" fontId="4" fillId="0" borderId="3" xfId="0" applyNumberFormat="1" applyFont="1" applyFill="1" applyBorder="1" applyProtection="1">
      <protection locked="0"/>
    </xf>
    <xf numFmtId="2" fontId="4" fillId="0" borderId="8" xfId="0" applyNumberFormat="1" applyFont="1" applyBorder="1"/>
    <xf numFmtId="164" fontId="4" fillId="0" borderId="0" xfId="0" applyNumberFormat="1" applyFont="1"/>
    <xf numFmtId="0" fontId="5" fillId="0" borderId="4" xfId="0" applyFont="1" applyFill="1" applyBorder="1"/>
    <xf numFmtId="0" fontId="4" fillId="0" borderId="3" xfId="0" applyFont="1" applyFill="1" applyBorder="1"/>
    <xf numFmtId="164" fontId="4" fillId="0" borderId="15" xfId="0" applyNumberFormat="1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164" fontId="4" fillId="0" borderId="6" xfId="0" applyNumberFormat="1" applyFont="1" applyFill="1" applyBorder="1" applyProtection="1">
      <protection locked="0"/>
    </xf>
    <xf numFmtId="164" fontId="4" fillId="2" borderId="6" xfId="0" applyNumberFormat="1" applyFont="1" applyFill="1" applyBorder="1" applyProtection="1">
      <protection locked="0"/>
    </xf>
    <xf numFmtId="164" fontId="4" fillId="0" borderId="6" xfId="0" applyNumberFormat="1" applyFont="1" applyBorder="1"/>
    <xf numFmtId="164" fontId="4" fillId="0" borderId="21" xfId="0" applyNumberFormat="1" applyFont="1" applyBorder="1"/>
    <xf numFmtId="165" fontId="4" fillId="2" borderId="20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4" fillId="0" borderId="1" xfId="0" applyFont="1" applyFill="1" applyBorder="1"/>
    <xf numFmtId="164" fontId="4" fillId="0" borderId="1" xfId="0" applyNumberFormat="1" applyFont="1" applyBorder="1"/>
    <xf numFmtId="4" fontId="4" fillId="0" borderId="1" xfId="0" applyNumberFormat="1" applyFont="1" applyBorder="1"/>
    <xf numFmtId="4" fontId="4" fillId="0" borderId="22" xfId="0" applyNumberFormat="1" applyFont="1" applyBorder="1"/>
    <xf numFmtId="164" fontId="4" fillId="0" borderId="23" xfId="0" applyNumberFormat="1" applyFont="1" applyBorder="1"/>
    <xf numFmtId="2" fontId="4" fillId="0" borderId="9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8" fillId="0" borderId="3" xfId="0" applyFont="1" applyFill="1" applyBorder="1" applyAlignment="1">
      <alignment horizontal="centerContinuous"/>
    </xf>
    <xf numFmtId="0" fontId="3" fillId="0" borderId="8" xfId="0" applyFont="1" applyBorder="1"/>
    <xf numFmtId="0" fontId="3" fillId="0" borderId="0" xfId="0" applyFont="1" applyFill="1"/>
    <xf numFmtId="0" fontId="4" fillId="0" borderId="10" xfId="0" applyFont="1" applyBorder="1"/>
    <xf numFmtId="0" fontId="9" fillId="2" borderId="0" xfId="0" applyFont="1" applyFill="1" applyProtection="1">
      <protection locked="0"/>
    </xf>
    <xf numFmtId="0" fontId="3" fillId="0" borderId="0" xfId="0" quotePrefix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2" borderId="0" xfId="0" applyNumberFormat="1" applyFont="1" applyFill="1"/>
    <xf numFmtId="0" fontId="4" fillId="2" borderId="0" xfId="0" applyFont="1" applyFill="1"/>
    <xf numFmtId="16" fontId="4" fillId="2" borderId="0" xfId="0" applyNumberFormat="1" applyFont="1" applyFill="1" applyAlignment="1">
      <alignment horizontal="left"/>
    </xf>
    <xf numFmtId="0" fontId="4" fillId="0" borderId="0" xfId="0" applyFont="1" applyFill="1" applyBorder="1" applyProtection="1">
      <protection locked="0"/>
    </xf>
    <xf numFmtId="4" fontId="4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4" fillId="0" borderId="9" xfId="0" applyNumberFormat="1" applyFont="1" applyBorder="1"/>
    <xf numFmtId="167" fontId="4" fillId="0" borderId="0" xfId="0" applyNumberFormat="1" applyFont="1"/>
    <xf numFmtId="165" fontId="4" fillId="2" borderId="7" xfId="0" applyNumberFormat="1" applyFont="1" applyFill="1" applyBorder="1" applyProtection="1">
      <protection locked="0"/>
    </xf>
    <xf numFmtId="10" fontId="4" fillId="2" borderId="7" xfId="0" applyNumberFormat="1" applyFont="1" applyFill="1" applyBorder="1" applyProtection="1">
      <protection locked="0"/>
    </xf>
    <xf numFmtId="0" fontId="10" fillId="0" borderId="0" xfId="0" applyFont="1"/>
    <xf numFmtId="0" fontId="5" fillId="0" borderId="24" xfId="0" applyFont="1" applyBorder="1"/>
    <xf numFmtId="165" fontId="5" fillId="0" borderId="24" xfId="0" applyNumberFormat="1" applyFont="1" applyFill="1" applyBorder="1"/>
    <xf numFmtId="0" fontId="5" fillId="0" borderId="24" xfId="0" applyFont="1" applyFill="1" applyBorder="1"/>
    <xf numFmtId="0" fontId="5" fillId="0" borderId="0" xfId="0" applyFont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4" fontId="6" fillId="0" borderId="7" xfId="0" applyNumberFormat="1" applyFont="1" applyFill="1" applyBorder="1"/>
    <xf numFmtId="4" fontId="6" fillId="0" borderId="0" xfId="0" applyNumberFormat="1" applyFont="1" applyFill="1" applyBorder="1"/>
    <xf numFmtId="0" fontId="7" fillId="0" borderId="25" xfId="0" applyFont="1" applyFill="1" applyBorder="1"/>
    <xf numFmtId="165" fontId="6" fillId="0" borderId="25" xfId="0" applyNumberFormat="1" applyFont="1" applyFill="1" applyBorder="1"/>
    <xf numFmtId="4" fontId="6" fillId="0" borderId="25" xfId="0" applyNumberFormat="1" applyFont="1" applyFill="1" applyBorder="1"/>
    <xf numFmtId="165" fontId="5" fillId="0" borderId="9" xfId="0" applyNumberFormat="1" applyFont="1" applyFill="1" applyBorder="1"/>
    <xf numFmtId="0" fontId="5" fillId="0" borderId="25" xfId="0" applyFont="1" applyBorder="1"/>
    <xf numFmtId="165" fontId="5" fillId="0" borderId="25" xfId="0" applyNumberFormat="1" applyFont="1" applyFill="1" applyBorder="1"/>
    <xf numFmtId="0" fontId="5" fillId="0" borderId="25" xfId="0" applyFont="1" applyFill="1" applyBorder="1"/>
    <xf numFmtId="165" fontId="4" fillId="0" borderId="25" xfId="0" applyNumberFormat="1" applyFont="1" applyFill="1" applyBorder="1"/>
    <xf numFmtId="10" fontId="4" fillId="0" borderId="25" xfId="0" applyNumberFormat="1" applyFont="1" applyFill="1" applyBorder="1"/>
    <xf numFmtId="0" fontId="10" fillId="0" borderId="3" xfId="0" applyFont="1" applyBorder="1" applyAlignment="1">
      <alignment wrapText="1"/>
    </xf>
    <xf numFmtId="165" fontId="4" fillId="0" borderId="9" xfId="0" applyNumberFormat="1" applyFont="1" applyFill="1" applyBorder="1" applyProtection="1">
      <protection locked="0"/>
    </xf>
    <xf numFmtId="10" fontId="4" fillId="0" borderId="9" xfId="0" applyNumberFormat="1" applyFont="1" applyFill="1" applyBorder="1" applyProtection="1">
      <protection locked="0"/>
    </xf>
    <xf numFmtId="165" fontId="4" fillId="0" borderId="9" xfId="0" applyNumberFormat="1" applyFont="1" applyFill="1" applyBorder="1"/>
    <xf numFmtId="0" fontId="7" fillId="0" borderId="0" xfId="0" applyFont="1" applyFill="1" applyBorder="1" applyAlignment="1">
      <alignment horizontal="center"/>
    </xf>
    <xf numFmtId="165" fontId="5" fillId="0" borderId="26" xfId="0" applyNumberFormat="1" applyFont="1" applyFill="1" applyBorder="1"/>
    <xf numFmtId="0" fontId="5" fillId="0" borderId="26" xfId="0" applyFont="1" applyFill="1" applyBorder="1"/>
    <xf numFmtId="165" fontId="4" fillId="3" borderId="2" xfId="0" applyNumberFormat="1" applyFont="1" applyFill="1" applyBorder="1" applyProtection="1">
      <protection locked="0"/>
    </xf>
    <xf numFmtId="10" fontId="4" fillId="3" borderId="2" xfId="0" applyNumberFormat="1" applyFont="1" applyFill="1" applyBorder="1" applyProtection="1">
      <protection locked="0"/>
    </xf>
    <xf numFmtId="40" fontId="11" fillId="0" borderId="0" xfId="2" applyFont="1" applyAlignment="1" applyProtection="1">
      <alignment vertical="center"/>
      <protection locked="0"/>
    </xf>
    <xf numFmtId="40" fontId="1" fillId="0" borderId="0" xfId="2" applyAlignment="1" applyProtection="1">
      <alignment vertical="center"/>
      <protection locked="0"/>
    </xf>
    <xf numFmtId="40" fontId="1" fillId="0" borderId="0" xfId="2" applyAlignment="1" applyProtection="1">
      <alignment horizontal="right" vertical="center"/>
      <protection locked="0"/>
    </xf>
    <xf numFmtId="40" fontId="1" fillId="0" borderId="0" xfId="2" applyAlignment="1">
      <alignment horizontal="right" vertical="center"/>
    </xf>
    <xf numFmtId="39" fontId="1" fillId="0" borderId="0" xfId="2" applyNumberFormat="1" applyAlignment="1" applyProtection="1">
      <alignment horizontal="right" vertical="center"/>
      <protection locked="0"/>
    </xf>
    <xf numFmtId="39" fontId="1" fillId="0" borderId="0" xfId="2" applyNumberFormat="1" applyAlignment="1">
      <alignment horizontal="right" vertical="center"/>
    </xf>
    <xf numFmtId="40" fontId="12" fillId="0" borderId="0" xfId="2" applyFont="1" applyAlignment="1">
      <alignment vertical="center"/>
    </xf>
    <xf numFmtId="10" fontId="1" fillId="0" borderId="0" xfId="2" applyNumberFormat="1" applyAlignment="1">
      <alignment vertical="center"/>
    </xf>
    <xf numFmtId="40" fontId="1" fillId="0" borderId="0" xfId="2" applyAlignment="1" applyProtection="1">
      <alignment horizontal="center" vertical="center"/>
    </xf>
    <xf numFmtId="40" fontId="1" fillId="0" borderId="0" xfId="2" applyAlignment="1">
      <alignment vertical="center"/>
    </xf>
    <xf numFmtId="40" fontId="13" fillId="0" borderId="0" xfId="2" applyFont="1" applyAlignment="1" applyProtection="1">
      <alignment vertical="center"/>
      <protection locked="0"/>
    </xf>
    <xf numFmtId="40" fontId="1" fillId="0" borderId="0" xfId="2" applyAlignment="1">
      <alignment vertical="center" wrapText="1"/>
    </xf>
    <xf numFmtId="40" fontId="12" fillId="0" borderId="0" xfId="2" applyFont="1" applyAlignment="1" applyProtection="1">
      <alignment vertical="center"/>
      <protection locked="0"/>
    </xf>
    <xf numFmtId="40" fontId="12" fillId="0" borderId="0" xfId="2" applyFont="1" applyAlignment="1" applyProtection="1">
      <alignment horizontal="center" vertical="center"/>
      <protection locked="0"/>
    </xf>
    <xf numFmtId="40" fontId="12" fillId="0" borderId="0" xfId="2" applyFont="1" applyAlignment="1">
      <alignment horizontal="center" vertical="center"/>
    </xf>
    <xf numFmtId="39" fontId="12" fillId="0" borderId="0" xfId="2" applyNumberFormat="1" applyFont="1" applyAlignment="1" applyProtection="1">
      <alignment horizontal="right" vertical="center"/>
      <protection locked="0"/>
    </xf>
    <xf numFmtId="39" fontId="12" fillId="0" borderId="0" xfId="2" applyNumberFormat="1" applyFont="1" applyAlignment="1">
      <alignment horizontal="right" vertical="center"/>
    </xf>
    <xf numFmtId="10" fontId="12" fillId="0" borderId="0" xfId="2" applyNumberFormat="1" applyFont="1" applyAlignment="1">
      <alignment vertical="center"/>
    </xf>
    <xf numFmtId="40" fontId="12" fillId="0" borderId="0" xfId="2" applyFont="1" applyAlignment="1" applyProtection="1">
      <alignment horizontal="center" vertical="center"/>
    </xf>
    <xf numFmtId="0" fontId="0" fillId="0" borderId="0" xfId="0" applyAlignment="1">
      <alignment vertical="center"/>
    </xf>
    <xf numFmtId="40" fontId="15" fillId="0" borderId="0" xfId="2" applyFont="1" applyFill="1" applyBorder="1" applyAlignment="1" applyProtection="1">
      <alignment horizontal="center" vertical="center"/>
      <protection locked="0"/>
    </xf>
    <xf numFmtId="40" fontId="9" fillId="4" borderId="3" xfId="2" applyFont="1" applyFill="1" applyBorder="1" applyAlignment="1" applyProtection="1">
      <alignment horizontal="right" vertical="center"/>
      <protection locked="0"/>
    </xf>
    <xf numFmtId="40" fontId="9" fillId="4" borderId="3" xfId="2" applyFont="1" applyFill="1" applyBorder="1" applyAlignment="1">
      <alignment horizontal="right" vertical="center"/>
    </xf>
    <xf numFmtId="40" fontId="9" fillId="0" borderId="0" xfId="2" applyFont="1" applyFill="1" applyBorder="1" applyAlignment="1" applyProtection="1">
      <alignment horizontal="right" vertical="center"/>
      <protection locked="0"/>
    </xf>
    <xf numFmtId="40" fontId="1" fillId="0" borderId="0" xfId="2" applyBorder="1" applyAlignment="1" applyProtection="1">
      <alignment horizontal="right" vertical="center"/>
      <protection locked="0"/>
    </xf>
    <xf numFmtId="39" fontId="1" fillId="0" borderId="0" xfId="2" applyNumberFormat="1" applyBorder="1" applyAlignment="1">
      <alignment horizontal="right" vertical="center"/>
    </xf>
    <xf numFmtId="40" fontId="1" fillId="0" borderId="0" xfId="2" applyBorder="1" applyAlignment="1">
      <alignment horizontal="right" vertical="center"/>
    </xf>
    <xf numFmtId="9" fontId="17" fillId="0" borderId="10" xfId="2" applyNumberFormat="1" applyFont="1" applyBorder="1" applyAlignment="1">
      <alignment vertical="center"/>
    </xf>
    <xf numFmtId="9" fontId="18" fillId="0" borderId="10" xfId="0" applyNumberFormat="1" applyFont="1" applyBorder="1" applyAlignment="1">
      <alignment vertical="center"/>
    </xf>
    <xf numFmtId="40" fontId="13" fillId="0" borderId="0" xfId="2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0" fontId="5" fillId="0" borderId="0" xfId="2" applyFont="1" applyAlignment="1" applyProtection="1">
      <alignment vertical="center"/>
      <protection locked="0"/>
    </xf>
    <xf numFmtId="40" fontId="1" fillId="0" borderId="0" xfId="2" applyBorder="1" applyAlignment="1" applyProtection="1">
      <alignment horizontal="left" vertical="center"/>
      <protection locked="0"/>
    </xf>
    <xf numFmtId="40" fontId="1" fillId="0" borderId="0" xfId="2" applyBorder="1" applyAlignment="1" applyProtection="1">
      <alignment vertical="center"/>
      <protection locked="0"/>
    </xf>
    <xf numFmtId="0" fontId="1" fillId="0" borderId="0" xfId="2" applyNumberFormat="1" applyBorder="1" applyAlignment="1" applyProtection="1">
      <alignment vertical="center"/>
      <protection locked="0"/>
    </xf>
    <xf numFmtId="0" fontId="1" fillId="0" borderId="0" xfId="2" applyNumberFormat="1" applyBorder="1" applyAlignment="1" applyProtection="1">
      <alignment horizontal="right" vertical="center"/>
      <protection locked="0"/>
    </xf>
    <xf numFmtId="40" fontId="1" fillId="0" borderId="0" xfId="2" applyBorder="1" applyAlignment="1">
      <alignment horizontal="left" vertical="center"/>
    </xf>
    <xf numFmtId="0" fontId="1" fillId="0" borderId="0" xfId="2" applyNumberFormat="1" applyAlignment="1" applyProtection="1">
      <alignment vertical="center"/>
      <protection locked="0"/>
    </xf>
    <xf numFmtId="0" fontId="1" fillId="0" borderId="0" xfId="2" applyNumberFormat="1" applyAlignment="1" applyProtection="1">
      <alignment horizontal="right" vertical="center"/>
      <protection locked="0"/>
    </xf>
    <xf numFmtId="40" fontId="1" fillId="0" borderId="0" xfId="2" applyAlignment="1">
      <alignment horizontal="left" vertical="center"/>
    </xf>
    <xf numFmtId="1" fontId="13" fillId="0" borderId="0" xfId="2" applyNumberFormat="1" applyFont="1" applyAlignment="1">
      <alignment horizontal="right" vertical="center"/>
    </xf>
    <xf numFmtId="2" fontId="12" fillId="0" borderId="0" xfId="2" applyNumberFormat="1" applyFont="1" applyAlignment="1">
      <alignment horizontal="center" vertical="center"/>
    </xf>
    <xf numFmtId="40" fontId="2" fillId="0" borderId="0" xfId="2" applyFont="1" applyBorder="1" applyAlignment="1" applyProtection="1">
      <alignment horizontal="right" vertical="center"/>
      <protection locked="0"/>
    </xf>
    <xf numFmtId="0" fontId="20" fillId="0" borderId="0" xfId="0" applyFont="1"/>
    <xf numFmtId="169" fontId="20" fillId="0" borderId="0" xfId="0" applyNumberFormat="1" applyFont="1" applyBorder="1"/>
    <xf numFmtId="167" fontId="9" fillId="2" borderId="0" xfId="0" applyNumberFormat="1" applyFont="1" applyFill="1" applyAlignment="1" applyProtection="1">
      <alignment horizontal="center"/>
      <protection locked="0"/>
    </xf>
    <xf numFmtId="40" fontId="12" fillId="0" borderId="9" xfId="2" applyFont="1" applyBorder="1" applyAlignment="1" applyProtection="1">
      <alignment horizontal="center" vertical="center"/>
    </xf>
    <xf numFmtId="9" fontId="1" fillId="2" borderId="10" xfId="2" applyNumberFormat="1" applyFill="1" applyBorder="1" applyAlignment="1">
      <alignment vertical="center"/>
    </xf>
    <xf numFmtId="10" fontId="21" fillId="0" borderId="27" xfId="2" applyNumberFormat="1" applyFont="1" applyBorder="1" applyAlignment="1">
      <alignment horizontal="right" vertical="center"/>
    </xf>
    <xf numFmtId="10" fontId="22" fillId="0" borderId="27" xfId="2" applyNumberFormat="1" applyFont="1" applyBorder="1" applyAlignment="1">
      <alignment horizontal="right" vertical="center"/>
    </xf>
    <xf numFmtId="0" fontId="26" fillId="5" borderId="0" xfId="0" applyFont="1" applyFill="1"/>
    <xf numFmtId="0" fontId="2" fillId="6" borderId="0" xfId="0" applyFont="1" applyFill="1" applyAlignment="1">
      <alignment horizontal="center"/>
    </xf>
    <xf numFmtId="0" fontId="5" fillId="6" borderId="0" xfId="0" applyFont="1" applyFill="1"/>
    <xf numFmtId="0" fontId="4" fillId="2" borderId="9" xfId="0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/>
    </xf>
    <xf numFmtId="0" fontId="5" fillId="0" borderId="3" xfId="0" applyFont="1" applyFill="1" applyBorder="1"/>
    <xf numFmtId="9" fontId="4" fillId="3" borderId="9" xfId="0" applyNumberFormat="1" applyFont="1" applyFill="1" applyBorder="1" applyProtection="1">
      <protection locked="0"/>
    </xf>
    <xf numFmtId="0" fontId="27" fillId="3" borderId="9" xfId="0" applyFont="1" applyFill="1" applyBorder="1" applyAlignment="1">
      <alignment horizontal="center"/>
    </xf>
    <xf numFmtId="168" fontId="5" fillId="0" borderId="9" xfId="0" applyNumberFormat="1" applyFont="1" applyBorder="1"/>
    <xf numFmtId="10" fontId="4" fillId="2" borderId="10" xfId="0" applyNumberFormat="1" applyFont="1" applyFill="1" applyBorder="1"/>
    <xf numFmtId="165" fontId="4" fillId="2" borderId="0" xfId="0" applyNumberFormat="1" applyFont="1" applyFill="1" applyBorder="1" applyProtection="1">
      <protection locked="0"/>
    </xf>
    <xf numFmtId="10" fontId="4" fillId="2" borderId="0" xfId="0" applyNumberFormat="1" applyFont="1" applyFill="1" applyBorder="1" applyProtection="1">
      <protection locked="0"/>
    </xf>
    <xf numFmtId="0" fontId="4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65" fontId="4" fillId="0" borderId="28" xfId="0" applyNumberFormat="1" applyFont="1" applyFill="1" applyBorder="1"/>
    <xf numFmtId="0" fontId="20" fillId="0" borderId="0" xfId="0" applyFont="1" applyBorder="1"/>
    <xf numFmtId="0" fontId="20" fillId="0" borderId="4" xfId="0" applyFont="1" applyBorder="1"/>
    <xf numFmtId="0" fontId="20" fillId="0" borderId="3" xfId="0" applyFont="1" applyBorder="1"/>
    <xf numFmtId="169" fontId="9" fillId="0" borderId="0" xfId="0" applyNumberFormat="1" applyFont="1" applyBorder="1"/>
    <xf numFmtId="169" fontId="9" fillId="0" borderId="8" xfId="0" applyNumberFormat="1" applyFont="1" applyBorder="1"/>
    <xf numFmtId="0" fontId="19" fillId="0" borderId="4" xfId="0" applyFont="1" applyBorder="1"/>
    <xf numFmtId="0" fontId="23" fillId="0" borderId="3" xfId="0" applyFont="1" applyBorder="1"/>
    <xf numFmtId="169" fontId="15" fillId="0" borderId="8" xfId="0" applyNumberFormat="1" applyFont="1" applyBorder="1"/>
    <xf numFmtId="0" fontId="0" fillId="0" borderId="16" xfId="0" applyBorder="1"/>
    <xf numFmtId="0" fontId="0" fillId="0" borderId="29" xfId="0" applyBorder="1"/>
    <xf numFmtId="0" fontId="0" fillId="0" borderId="15" xfId="0" applyBorder="1"/>
    <xf numFmtId="0" fontId="0" fillId="0" borderId="17" xfId="0" applyBorder="1"/>
    <xf numFmtId="0" fontId="0" fillId="0" borderId="0" xfId="0" applyBorder="1"/>
    <xf numFmtId="0" fontId="0" fillId="0" borderId="30" xfId="0" applyBorder="1"/>
    <xf numFmtId="0" fontId="0" fillId="0" borderId="20" xfId="0" applyBorder="1"/>
    <xf numFmtId="0" fontId="20" fillId="0" borderId="10" xfId="0" applyFont="1" applyBorder="1"/>
    <xf numFmtId="0" fontId="0" fillId="0" borderId="10" xfId="0" applyBorder="1"/>
    <xf numFmtId="0" fontId="0" fillId="0" borderId="31" xfId="0" applyBorder="1"/>
    <xf numFmtId="0" fontId="19" fillId="7" borderId="4" xfId="0" applyFont="1" applyFill="1" applyBorder="1"/>
    <xf numFmtId="0" fontId="0" fillId="7" borderId="3" xfId="0" applyFill="1" applyBorder="1"/>
    <xf numFmtId="169" fontId="15" fillId="7" borderId="8" xfId="0" applyNumberFormat="1" applyFont="1" applyFill="1" applyBorder="1"/>
    <xf numFmtId="0" fontId="19" fillId="0" borderId="0" xfId="0" applyFont="1" applyBorder="1"/>
    <xf numFmtId="0" fontId="20" fillId="0" borderId="29" xfId="0" applyFont="1" applyBorder="1"/>
    <xf numFmtId="165" fontId="4" fillId="0" borderId="13" xfId="0" applyNumberFormat="1" applyFont="1" applyFill="1" applyBorder="1"/>
    <xf numFmtId="2" fontId="5" fillId="0" borderId="0" xfId="0" applyNumberFormat="1" applyFont="1"/>
    <xf numFmtId="165" fontId="4" fillId="0" borderId="0" xfId="0" applyNumberFormat="1" applyFont="1"/>
    <xf numFmtId="49" fontId="4" fillId="2" borderId="9" xfId="0" applyNumberFormat="1" applyFont="1" applyFill="1" applyBorder="1" applyProtection="1">
      <protection locked="0"/>
    </xf>
    <xf numFmtId="4" fontId="4" fillId="0" borderId="0" xfId="0" applyNumberFormat="1" applyFont="1"/>
    <xf numFmtId="4" fontId="4" fillId="0" borderId="4" xfId="0" applyNumberFormat="1" applyFont="1" applyBorder="1"/>
    <xf numFmtId="4" fontId="5" fillId="0" borderId="9" xfId="0" applyNumberFormat="1" applyFont="1" applyBorder="1" applyAlignment="1">
      <alignment horizontal="right"/>
    </xf>
    <xf numFmtId="39" fontId="16" fillId="4" borderId="32" xfId="2" applyNumberFormat="1" applyFont="1" applyFill="1" applyBorder="1" applyAlignment="1">
      <alignment horizontal="right" vertical="center"/>
    </xf>
    <xf numFmtId="40" fontId="10" fillId="4" borderId="33" xfId="2" applyFont="1" applyFill="1" applyBorder="1" applyAlignment="1">
      <alignment horizontal="right" vertical="center"/>
    </xf>
    <xf numFmtId="10" fontId="1" fillId="4" borderId="33" xfId="2" applyNumberFormat="1" applyFill="1" applyBorder="1" applyAlignment="1">
      <alignment vertical="center"/>
    </xf>
    <xf numFmtId="40" fontId="16" fillId="4" borderId="34" xfId="2" applyFont="1" applyFill="1" applyBorder="1" applyAlignment="1" applyProtection="1">
      <alignment horizontal="center" vertical="center"/>
    </xf>
    <xf numFmtId="1" fontId="1" fillId="0" borderId="35" xfId="2" applyNumberFormat="1" applyBorder="1" applyAlignment="1">
      <alignment horizontal="right" vertical="center"/>
    </xf>
    <xf numFmtId="9" fontId="1" fillId="2" borderId="0" xfId="2" applyNumberFormat="1" applyFill="1" applyBorder="1" applyAlignment="1">
      <alignment vertical="center"/>
    </xf>
    <xf numFmtId="10" fontId="1" fillId="0" borderId="0" xfId="2" applyNumberFormat="1" applyBorder="1" applyAlignment="1">
      <alignment vertical="center"/>
    </xf>
    <xf numFmtId="40" fontId="12" fillId="0" borderId="36" xfId="2" applyFont="1" applyBorder="1" applyAlignment="1" applyProtection="1">
      <alignment horizontal="center" vertical="center"/>
    </xf>
    <xf numFmtId="1" fontId="1" fillId="0" borderId="37" xfId="2" applyNumberFormat="1" applyBorder="1" applyAlignment="1">
      <alignment horizontal="right" vertical="center"/>
    </xf>
    <xf numFmtId="9" fontId="17" fillId="0" borderId="0" xfId="2" applyNumberFormat="1" applyFont="1" applyBorder="1" applyAlignment="1">
      <alignment vertical="center"/>
    </xf>
    <xf numFmtId="1" fontId="0" fillId="0" borderId="35" xfId="0" applyNumberFormat="1" applyBorder="1" applyAlignment="1">
      <alignment vertical="center"/>
    </xf>
    <xf numFmtId="1" fontId="0" fillId="0" borderId="38" xfId="0" applyNumberFormat="1" applyBorder="1" applyAlignment="1">
      <alignment vertical="center"/>
    </xf>
    <xf numFmtId="9" fontId="1" fillId="2" borderId="39" xfId="2" applyNumberFormat="1" applyFill="1" applyBorder="1" applyAlignment="1">
      <alignment vertical="center"/>
    </xf>
    <xf numFmtId="9" fontId="17" fillId="0" borderId="39" xfId="2" applyNumberFormat="1" applyFont="1" applyBorder="1" applyAlignment="1">
      <alignment vertical="center"/>
    </xf>
    <xf numFmtId="40" fontId="12" fillId="0" borderId="40" xfId="2" applyFont="1" applyBorder="1" applyAlignment="1" applyProtection="1">
      <alignment horizontal="center" vertical="center"/>
    </xf>
    <xf numFmtId="40" fontId="9" fillId="4" borderId="41" xfId="2" applyFont="1" applyFill="1" applyBorder="1" applyAlignment="1" applyProtection="1">
      <alignment horizontal="right" vertical="center"/>
      <protection locked="0"/>
    </xf>
    <xf numFmtId="40" fontId="9" fillId="4" borderId="42" xfId="2" applyFont="1" applyFill="1" applyBorder="1" applyAlignment="1" applyProtection="1">
      <alignment horizontal="right" vertical="center"/>
      <protection locked="0"/>
    </xf>
    <xf numFmtId="40" fontId="5" fillId="0" borderId="38" xfId="2" applyFont="1" applyBorder="1" applyAlignment="1" applyProtection="1">
      <alignment vertical="center"/>
      <protection locked="0"/>
    </xf>
    <xf numFmtId="40" fontId="1" fillId="0" borderId="39" xfId="2" applyFont="1" applyBorder="1" applyAlignment="1" applyProtection="1">
      <alignment horizontal="right" vertical="center"/>
      <protection locked="0"/>
    </xf>
    <xf numFmtId="10" fontId="5" fillId="0" borderId="39" xfId="2" applyNumberFormat="1" applyFont="1" applyBorder="1" applyAlignment="1">
      <alignment horizontal="right" vertical="center"/>
    </xf>
    <xf numFmtId="40" fontId="13" fillId="0" borderId="40" xfId="2" applyFont="1" applyBorder="1" applyAlignment="1">
      <alignment horizontal="right" vertical="center"/>
    </xf>
    <xf numFmtId="9" fontId="1" fillId="0" borderId="9" xfId="2" applyNumberFormat="1" applyBorder="1" applyAlignment="1">
      <alignment vertical="center"/>
    </xf>
    <xf numFmtId="40" fontId="1" fillId="0" borderId="0" xfId="2" applyBorder="1" applyAlignment="1" applyProtection="1">
      <alignment horizontal="center" vertical="center"/>
    </xf>
    <xf numFmtId="40" fontId="5" fillId="0" borderId="43" xfId="2" applyFont="1" applyBorder="1" applyAlignment="1" applyProtection="1">
      <alignment horizontal="right" vertical="center" wrapText="1"/>
      <protection locked="0"/>
    </xf>
    <xf numFmtId="40" fontId="5" fillId="0" borderId="1" xfId="2" applyFont="1" applyBorder="1" applyAlignment="1" applyProtection="1">
      <alignment horizontal="center" vertical="center" wrapText="1"/>
      <protection locked="0"/>
    </xf>
    <xf numFmtId="40" fontId="5" fillId="0" borderId="1" xfId="2" applyFont="1" applyBorder="1" applyAlignment="1" applyProtection="1">
      <alignment horizontal="right" vertical="center" wrapText="1"/>
      <protection locked="0"/>
    </xf>
    <xf numFmtId="40" fontId="5" fillId="0" borderId="1" xfId="2" applyFont="1" applyBorder="1" applyAlignment="1">
      <alignment horizontal="center" vertical="center" wrapText="1"/>
    </xf>
    <xf numFmtId="39" fontId="5" fillId="0" borderId="1" xfId="2" applyNumberFormat="1" applyFont="1" applyBorder="1" applyAlignment="1" applyProtection="1">
      <alignment horizontal="right" vertical="center" wrapText="1"/>
      <protection locked="0"/>
    </xf>
    <xf numFmtId="39" fontId="5" fillId="0" borderId="1" xfId="2" applyNumberFormat="1" applyFont="1" applyBorder="1" applyAlignment="1">
      <alignment horizontal="right" vertical="center" wrapText="1"/>
    </xf>
    <xf numFmtId="10" fontId="5" fillId="0" borderId="1" xfId="2" applyNumberFormat="1" applyFont="1" applyBorder="1" applyAlignment="1">
      <alignment horizontal="center" vertical="center" wrapText="1"/>
    </xf>
    <xf numFmtId="40" fontId="5" fillId="0" borderId="44" xfId="2" applyFont="1" applyBorder="1" applyAlignment="1" applyProtection="1">
      <alignment horizontal="center" vertical="center" wrapText="1"/>
    </xf>
    <xf numFmtId="169" fontId="20" fillId="2" borderId="9" xfId="0" applyNumberFormat="1" applyFont="1" applyFill="1" applyBorder="1"/>
    <xf numFmtId="4" fontId="5" fillId="0" borderId="4" xfId="0" applyNumberFormat="1" applyFont="1" applyBorder="1"/>
    <xf numFmtId="4" fontId="5" fillId="0" borderId="9" xfId="0" applyNumberFormat="1" applyFont="1" applyBorder="1"/>
    <xf numFmtId="2" fontId="9" fillId="0" borderId="0" xfId="0" applyNumberFormat="1" applyFont="1" applyAlignment="1">
      <alignment horizontal="center"/>
    </xf>
    <xf numFmtId="4" fontId="5" fillId="6" borderId="4" xfId="0" applyNumberFormat="1" applyFont="1" applyFill="1" applyBorder="1"/>
    <xf numFmtId="1" fontId="4" fillId="8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0" fontId="12" fillId="0" borderId="9" xfId="2" applyFont="1" applyBorder="1" applyAlignment="1" applyProtection="1">
      <alignment horizontal="center" vertical="center"/>
      <protection locked="0"/>
    </xf>
    <xf numFmtId="49" fontId="12" fillId="0" borderId="9" xfId="2" applyNumberFormat="1" applyFont="1" applyBorder="1" applyAlignment="1" applyProtection="1">
      <alignment horizontal="left" vertical="center"/>
      <protection locked="0"/>
    </xf>
    <xf numFmtId="40" fontId="12" fillId="0" borderId="9" xfId="2" applyFont="1" applyBorder="1" applyAlignment="1" applyProtection="1">
      <alignment horizontal="right" vertical="center"/>
      <protection locked="0"/>
    </xf>
    <xf numFmtId="9" fontId="1" fillId="0" borderId="9" xfId="2" applyNumberFormat="1" applyFont="1" applyBorder="1" applyAlignment="1" applyProtection="1">
      <alignment horizontal="center" vertical="center"/>
      <protection locked="0"/>
    </xf>
    <xf numFmtId="4" fontId="5" fillId="0" borderId="9" xfId="2" applyNumberFormat="1" applyFont="1" applyBorder="1" applyAlignment="1" applyProtection="1">
      <alignment horizontal="center" vertical="center"/>
      <protection locked="0"/>
    </xf>
    <xf numFmtId="3" fontId="1" fillId="0" borderId="9" xfId="2" applyNumberFormat="1" applyBorder="1" applyAlignment="1">
      <alignment horizontal="center" vertical="center"/>
    </xf>
    <xf numFmtId="1" fontId="12" fillId="0" borderId="9" xfId="2" applyNumberFormat="1" applyFont="1" applyBorder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9" fontId="5" fillId="3" borderId="9" xfId="2" applyNumberFormat="1" applyFont="1" applyFill="1" applyBorder="1" applyAlignment="1" applyProtection="1">
      <alignment horizontal="right" vertical="center"/>
      <protection locked="0"/>
    </xf>
    <xf numFmtId="39" fontId="12" fillId="0" borderId="9" xfId="2" applyNumberFormat="1" applyFont="1" applyBorder="1" applyAlignment="1">
      <alignment horizontal="right" vertical="center"/>
    </xf>
    <xf numFmtId="40" fontId="2" fillId="0" borderId="9" xfId="2" applyFont="1" applyBorder="1" applyAlignment="1">
      <alignment horizontal="center" vertical="center"/>
    </xf>
    <xf numFmtId="10" fontId="12" fillId="0" borderId="9" xfId="2" applyNumberFormat="1" applyFont="1" applyBorder="1" applyAlignment="1">
      <alignment vertical="center"/>
    </xf>
    <xf numFmtId="40" fontId="14" fillId="4" borderId="9" xfId="2" applyFont="1" applyFill="1" applyBorder="1" applyAlignment="1" applyProtection="1">
      <alignment horizontal="left" vertical="center"/>
    </xf>
    <xf numFmtId="49" fontId="12" fillId="0" borderId="9" xfId="2" applyNumberFormat="1" applyFont="1" applyBorder="1" applyAlignment="1" applyProtection="1">
      <alignment horizontal="right" vertical="center"/>
      <protection locked="0"/>
    </xf>
    <xf numFmtId="2" fontId="12" fillId="0" borderId="9" xfId="2" applyNumberFormat="1" applyFont="1" applyBorder="1" applyAlignment="1" applyProtection="1">
      <alignment horizontal="center" vertical="center"/>
      <protection locked="0"/>
    </xf>
    <xf numFmtId="39" fontId="1" fillId="0" borderId="9" xfId="2" applyNumberFormat="1" applyFont="1" applyBorder="1" applyAlignment="1" applyProtection="1">
      <alignment horizontal="right" vertical="center"/>
      <protection locked="0"/>
    </xf>
    <xf numFmtId="40" fontId="1" fillId="0" borderId="9" xfId="2" applyBorder="1" applyAlignment="1" applyProtection="1">
      <alignment vertical="center"/>
      <protection locked="0"/>
    </xf>
    <xf numFmtId="40" fontId="1" fillId="0" borderId="9" xfId="2" applyBorder="1" applyAlignment="1" applyProtection="1">
      <alignment horizontal="right" vertical="center"/>
      <protection locked="0"/>
    </xf>
    <xf numFmtId="40" fontId="5" fillId="0" borderId="9" xfId="2" applyFont="1" applyBorder="1" applyAlignment="1" applyProtection="1">
      <alignment horizontal="right" vertical="center"/>
      <protection locked="0"/>
    </xf>
    <xf numFmtId="2" fontId="1" fillId="0" borderId="9" xfId="2" applyNumberFormat="1" applyBorder="1" applyAlignment="1">
      <alignment horizontal="center" vertical="center"/>
    </xf>
    <xf numFmtId="168" fontId="12" fillId="0" borderId="9" xfId="2" applyNumberFormat="1" applyFont="1" applyBorder="1" applyAlignment="1">
      <alignment horizontal="center" vertical="center"/>
    </xf>
    <xf numFmtId="39" fontId="1" fillId="0" borderId="9" xfId="2" applyNumberFormat="1" applyBorder="1" applyAlignment="1" applyProtection="1">
      <alignment horizontal="right" vertical="center"/>
      <protection locked="0"/>
    </xf>
    <xf numFmtId="39" fontId="1" fillId="0" borderId="9" xfId="2" applyNumberFormat="1" applyBorder="1" applyAlignment="1">
      <alignment horizontal="right" vertical="center"/>
    </xf>
    <xf numFmtId="40" fontId="12" fillId="0" borderId="45" xfId="2" applyFont="1" applyBorder="1" applyAlignment="1" applyProtection="1">
      <alignment horizontal="center" vertical="center"/>
      <protection locked="0"/>
    </xf>
    <xf numFmtId="40" fontId="12" fillId="0" borderId="46" xfId="2" applyFont="1" applyBorder="1" applyAlignment="1" applyProtection="1">
      <alignment horizontal="right" vertical="center"/>
      <protection locked="0"/>
    </xf>
    <xf numFmtId="40" fontId="12" fillId="0" borderId="46" xfId="2" applyFont="1" applyBorder="1" applyAlignment="1" applyProtection="1">
      <alignment horizontal="right" vertical="center"/>
    </xf>
    <xf numFmtId="40" fontId="1" fillId="0" borderId="46" xfId="2" applyBorder="1" applyAlignment="1" applyProtection="1">
      <alignment horizontal="right" vertical="center"/>
      <protection locked="0"/>
    </xf>
    <xf numFmtId="40" fontId="5" fillId="0" borderId="46" xfId="2" applyFont="1" applyBorder="1" applyAlignment="1" applyProtection="1">
      <alignment horizontal="right" vertical="center"/>
      <protection locked="0"/>
    </xf>
    <xf numFmtId="3" fontId="12" fillId="0" borderId="46" xfId="2" applyNumberFormat="1" applyFont="1" applyBorder="1" applyAlignment="1">
      <alignment horizontal="center" vertical="center"/>
    </xf>
    <xf numFmtId="10" fontId="1" fillId="0" borderId="46" xfId="2" applyNumberFormat="1" applyBorder="1" applyAlignment="1">
      <alignment horizontal="center" vertical="center"/>
    </xf>
    <xf numFmtId="3" fontId="12" fillId="4" borderId="46" xfId="2" applyNumberFormat="1" applyFont="1" applyFill="1" applyBorder="1" applyAlignment="1">
      <alignment horizontal="center" vertical="center"/>
    </xf>
    <xf numFmtId="39" fontId="9" fillId="4" borderId="46" xfId="2" applyNumberFormat="1" applyFont="1" applyFill="1" applyBorder="1" applyAlignment="1" applyProtection="1">
      <alignment horizontal="center" vertical="center"/>
      <protection locked="0"/>
    </xf>
    <xf numFmtId="40" fontId="12" fillId="0" borderId="46" xfId="2" applyNumberFormat="1" applyFont="1" applyBorder="1" applyAlignment="1">
      <alignment horizontal="right" vertical="center"/>
    </xf>
    <xf numFmtId="40" fontId="2" fillId="0" borderId="46" xfId="2" applyFont="1" applyBorder="1" applyAlignment="1">
      <alignment horizontal="center" vertical="center"/>
    </xf>
    <xf numFmtId="10" fontId="12" fillId="0" borderId="46" xfId="2" applyNumberFormat="1" applyFont="1" applyBorder="1" applyAlignment="1">
      <alignment vertical="center"/>
    </xf>
    <xf numFmtId="40" fontId="14" fillId="4" borderId="47" xfId="2" applyFont="1" applyFill="1" applyBorder="1" applyAlignment="1" applyProtection="1">
      <alignment horizontal="left" vertical="center"/>
    </xf>
    <xf numFmtId="9" fontId="1" fillId="0" borderId="9" xfId="2" applyNumberFormat="1" applyBorder="1" applyAlignment="1">
      <alignment horizontal="center" vertical="center"/>
    </xf>
    <xf numFmtId="39" fontId="1" fillId="0" borderId="9" xfId="2" applyNumberFormat="1" applyBorder="1" applyAlignment="1" applyProtection="1">
      <alignment horizontal="center" vertical="center"/>
      <protection locked="0"/>
    </xf>
    <xf numFmtId="10" fontId="4" fillId="0" borderId="9" xfId="1" applyNumberFormat="1" applyFont="1" applyBorder="1" applyAlignment="1">
      <alignment vertical="center"/>
    </xf>
    <xf numFmtId="40" fontId="1" fillId="8" borderId="9" xfId="2" applyFill="1" applyBorder="1" applyAlignment="1" applyProtection="1">
      <alignment horizontal="right" vertical="center"/>
      <protection locked="0"/>
    </xf>
    <xf numFmtId="10" fontId="1" fillId="2" borderId="9" xfId="2" applyNumberFormat="1" applyFill="1" applyBorder="1" applyAlignment="1">
      <alignment horizontal="right" vertical="center"/>
    </xf>
    <xf numFmtId="40" fontId="1" fillId="2" borderId="9" xfId="2" applyFill="1" applyBorder="1" applyAlignment="1" applyProtection="1">
      <alignment horizontal="right" vertical="center"/>
      <protection locked="0"/>
    </xf>
    <xf numFmtId="2" fontId="5" fillId="0" borderId="0" xfId="0" applyNumberFormat="1" applyFont="1" applyAlignment="1">
      <alignment horizontal="left" indent="1"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0" fillId="0" borderId="8" xfId="0" applyBorder="1" applyAlignment="1"/>
    <xf numFmtId="40" fontId="9" fillId="4" borderId="32" xfId="2" applyFont="1" applyFill="1" applyBorder="1" applyAlignment="1" applyProtection="1">
      <alignment horizontal="center" vertical="center"/>
      <protection locked="0"/>
    </xf>
    <xf numFmtId="40" fontId="9" fillId="4" borderId="33" xfId="2" applyFont="1" applyFill="1" applyBorder="1" applyAlignment="1" applyProtection="1">
      <alignment horizontal="center" vertical="center"/>
      <protection locked="0"/>
    </xf>
    <xf numFmtId="40" fontId="9" fillId="4" borderId="34" xfId="2" applyFont="1" applyFill="1" applyBorder="1" applyAlignment="1" applyProtection="1">
      <alignment horizontal="center" vertical="center"/>
      <protection locked="0"/>
    </xf>
    <xf numFmtId="40" fontId="10" fillId="4" borderId="35" xfId="2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</cellXfs>
  <cellStyles count="3">
    <cellStyle name="Standard" xfId="0" builtinId="0"/>
    <cellStyle name="Standard_Productivity" xfId="1" xr:uid="{00000000-0005-0000-0000-000001000000}"/>
    <cellStyle name="Standard_Tabelle1_Productivity" xfId="2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Zielumsatz pro Monat</a:t>
            </a:r>
          </a:p>
        </c:rich>
      </c:tx>
      <c:layout>
        <c:manualLayout>
          <c:xMode val="edge"/>
          <c:yMode val="edge"/>
          <c:x val="0.36624230685626596"/>
          <c:y val="3.16302567442227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8928711659589"/>
          <c:y val="0.17274980219216229"/>
          <c:w val="0.82961847943813405"/>
          <c:h val="0.65936896329684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Potentialberechnung!$G$19:$G$30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C-4AC6-9F6E-83EC8ED6FFA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Potentialberechnung!$H$19:$H$30</c:f>
              <c:numCache>
                <c:formatCode>0%</c:formatCode>
                <c:ptCount val="12"/>
                <c:pt idx="0">
                  <c:v>7.0000000000000007E-2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0.11</c:v>
                </c:pt>
                <c:pt idx="5">
                  <c:v>0.09</c:v>
                </c:pt>
                <c:pt idx="6">
                  <c:v>0.05</c:v>
                </c:pt>
                <c:pt idx="7">
                  <c:v>7.0000000000000007E-2</c:v>
                </c:pt>
                <c:pt idx="8">
                  <c:v>0.09</c:v>
                </c:pt>
                <c:pt idx="9">
                  <c:v>0.09</c:v>
                </c:pt>
                <c:pt idx="10">
                  <c:v>0.11</c:v>
                </c:pt>
                <c:pt idx="11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C-4AC6-9F6E-83EC8ED6FFA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Potentialberechnung!$I$19:$I$30</c:f>
              <c:numCache>
                <c:formatCode>0.00%</c:formatCode>
                <c:ptCount val="12"/>
                <c:pt idx="2" formatCode="0%">
                  <c:v>0.23</c:v>
                </c:pt>
                <c:pt idx="5" formatCode="0%">
                  <c:v>0.29000000000000004</c:v>
                </c:pt>
                <c:pt idx="8" formatCode="0%">
                  <c:v>0.21000000000000002</c:v>
                </c:pt>
                <c:pt idx="11" formatCode="0%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C-4AC6-9F6E-83EC8ED6FFAA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Potentialberechnung!$J$19:$J$30</c:f>
              <c:numCache>
                <c:formatCode>#,##0.00_);[Red]\(#,##0.00\)</c:formatCode>
                <c:ptCount val="12"/>
                <c:pt idx="0">
                  <c:v>48400</c:v>
                </c:pt>
                <c:pt idx="1">
                  <c:v>48400</c:v>
                </c:pt>
                <c:pt idx="2">
                  <c:v>62230</c:v>
                </c:pt>
                <c:pt idx="3">
                  <c:v>62230</c:v>
                </c:pt>
                <c:pt idx="4">
                  <c:v>76060</c:v>
                </c:pt>
                <c:pt idx="5">
                  <c:v>62230</c:v>
                </c:pt>
                <c:pt idx="6">
                  <c:v>34570</c:v>
                </c:pt>
                <c:pt idx="7">
                  <c:v>48400</c:v>
                </c:pt>
                <c:pt idx="8">
                  <c:v>62230</c:v>
                </c:pt>
                <c:pt idx="9">
                  <c:v>62230</c:v>
                </c:pt>
                <c:pt idx="10">
                  <c:v>76060</c:v>
                </c:pt>
                <c:pt idx="11">
                  <c:v>48400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BC-4AC6-9F6E-83EC8ED6F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43968"/>
        <c:axId val="197244528"/>
      </c:barChart>
      <c:catAx>
        <c:axId val="19724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Monat</a:t>
                </a:r>
              </a:p>
            </c:rich>
          </c:tx>
          <c:layout>
            <c:manualLayout>
              <c:xMode val="edge"/>
              <c:yMode val="edge"/>
              <c:x val="0.52866277994607902"/>
              <c:y val="0.907544698360073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724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4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Umsatz</a:t>
                </a:r>
              </a:p>
            </c:rich>
          </c:tx>
          <c:layout>
            <c:manualLayout>
              <c:xMode val="edge"/>
              <c:yMode val="edge"/>
              <c:x val="2.5477648112280156E-2"/>
              <c:y val="0.44039034594359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7243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26</xdr:row>
      <xdr:rowOff>22860</xdr:rowOff>
    </xdr:from>
    <xdr:to>
      <xdr:col>3</xdr:col>
      <xdr:colOff>441960</xdr:colOff>
      <xdr:row>31</xdr:row>
      <xdr:rowOff>121920</xdr:rowOff>
    </xdr:to>
    <xdr:sp macro="" textlink="">
      <xdr:nvSpPr>
        <xdr:cNvPr id="4158" name="AutoShape 1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>
          <a:spLocks/>
        </xdr:cNvSpPr>
      </xdr:nvSpPr>
      <xdr:spPr bwMode="auto">
        <a:xfrm>
          <a:off x="3192780" y="4671060"/>
          <a:ext cx="68580" cy="937260"/>
        </a:xfrm>
        <a:prstGeom prst="rightBrace">
          <a:avLst>
            <a:gd name="adj1" fmla="val 1138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396240</xdr:colOff>
      <xdr:row>32</xdr:row>
      <xdr:rowOff>68580</xdr:rowOff>
    </xdr:from>
    <xdr:to>
      <xdr:col>3</xdr:col>
      <xdr:colOff>426720</xdr:colOff>
      <xdr:row>35</xdr:row>
      <xdr:rowOff>121920</xdr:rowOff>
    </xdr:to>
    <xdr:sp macro="" textlink="">
      <xdr:nvSpPr>
        <xdr:cNvPr id="4159" name="AutoShape 2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>
          <a:spLocks/>
        </xdr:cNvSpPr>
      </xdr:nvSpPr>
      <xdr:spPr bwMode="auto">
        <a:xfrm>
          <a:off x="3215640" y="5722620"/>
          <a:ext cx="30480" cy="556260"/>
        </a:xfrm>
        <a:prstGeom prst="rightBrace">
          <a:avLst>
            <a:gd name="adj1" fmla="val 15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739140</xdr:colOff>
      <xdr:row>35</xdr:row>
      <xdr:rowOff>0</xdr:rowOff>
    </xdr:from>
    <xdr:to>
      <xdr:col>8</xdr:col>
      <xdr:colOff>350520</xdr:colOff>
      <xdr:row>58</xdr:row>
      <xdr:rowOff>99060</xdr:rowOff>
    </xdr:to>
    <xdr:graphicFrame macro="">
      <xdr:nvGraphicFramePr>
        <xdr:cNvPr id="5210" name="Chart 7">
          <a:extLst>
            <a:ext uri="{FF2B5EF4-FFF2-40B4-BE49-F238E27FC236}">
              <a16:creationId xmlns:a16="http://schemas.microsoft.com/office/drawing/2014/main" id="{00000000-0008-0000-0500-00005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227" name="Rectangle 1">
          <a:extLst>
            <a:ext uri="{FF2B5EF4-FFF2-40B4-BE49-F238E27FC236}">
              <a16:creationId xmlns:a16="http://schemas.microsoft.com/office/drawing/2014/main" id="{00000000-0008-0000-0600-00003B1C0000}"/>
            </a:ext>
          </a:extLst>
        </xdr:cNvPr>
        <xdr:cNvSpPr>
          <a:spLocks noChangeArrowheads="1"/>
        </xdr:cNvSpPr>
      </xdr:nvSpPr>
      <xdr:spPr bwMode="auto">
        <a:xfrm>
          <a:off x="0" y="1120140"/>
          <a:ext cx="7627620" cy="49453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7228" name="Rectangle 2">
          <a:extLst>
            <a:ext uri="{FF2B5EF4-FFF2-40B4-BE49-F238E27FC236}">
              <a16:creationId xmlns:a16="http://schemas.microsoft.com/office/drawing/2014/main" id="{00000000-0008-0000-0600-00003C1C0000}"/>
            </a:ext>
          </a:extLst>
        </xdr:cNvPr>
        <xdr:cNvSpPr>
          <a:spLocks noChangeArrowheads="1"/>
        </xdr:cNvSpPr>
      </xdr:nvSpPr>
      <xdr:spPr bwMode="auto">
        <a:xfrm>
          <a:off x="0" y="6652260"/>
          <a:ext cx="7627620" cy="50215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5"/>
  <sheetViews>
    <sheetView tabSelected="1" workbookViewId="0">
      <selection activeCell="I12" sqref="I12"/>
    </sheetView>
  </sheetViews>
  <sheetFormatPr baseColWidth="10" defaultColWidth="11.42578125" defaultRowHeight="12.75"/>
  <cols>
    <col min="1" max="1" width="10.28515625" style="51" customWidth="1"/>
    <col min="2" max="2" width="17.85546875" style="51" customWidth="1"/>
    <col min="3" max="3" width="15.7109375" style="51" customWidth="1"/>
    <col min="4" max="7" width="11.42578125" style="51"/>
    <col min="8" max="12" width="11.42578125" style="33"/>
    <col min="13" max="16384" width="11.42578125" style="51"/>
  </cols>
  <sheetData>
    <row r="1" spans="1:12" s="1" customFormat="1" ht="27">
      <c r="A1" s="112"/>
      <c r="B1" s="113" t="s">
        <v>62</v>
      </c>
      <c r="C1" s="113"/>
      <c r="D1" s="113"/>
      <c r="E1" s="113"/>
      <c r="F1" s="113"/>
      <c r="G1" s="114"/>
      <c r="H1" s="115"/>
      <c r="I1" s="115"/>
      <c r="J1" s="115"/>
      <c r="K1" s="115"/>
      <c r="L1" s="115"/>
    </row>
    <row r="2" spans="1:12" s="1" customFormat="1" ht="11.25">
      <c r="H2" s="115"/>
      <c r="I2" s="115"/>
      <c r="J2" s="115"/>
      <c r="K2" s="115"/>
      <c r="L2" s="115"/>
    </row>
    <row r="3" spans="1:12" s="1" customFormat="1" ht="18" customHeight="1">
      <c r="B3" s="116" t="s">
        <v>0</v>
      </c>
      <c r="C3" s="117">
        <v>2021</v>
      </c>
      <c r="D3" s="51"/>
      <c r="E3" s="51"/>
      <c r="H3" s="115"/>
      <c r="I3" s="115"/>
      <c r="J3" s="115"/>
      <c r="K3" s="115"/>
      <c r="L3" s="115"/>
    </row>
    <row r="4" spans="1:12" s="1" customFormat="1" ht="18" customHeight="1">
      <c r="B4" s="51"/>
      <c r="C4" s="51"/>
      <c r="D4" s="51"/>
      <c r="E4" s="51"/>
      <c r="H4" s="115"/>
      <c r="I4" s="115"/>
      <c r="J4" s="115"/>
      <c r="K4" s="115"/>
      <c r="L4" s="115"/>
    </row>
    <row r="5" spans="1:12" s="1" customFormat="1" ht="18" customHeight="1">
      <c r="B5" s="51" t="s">
        <v>1</v>
      </c>
      <c r="C5" s="51"/>
      <c r="D5" s="51"/>
      <c r="E5" s="73">
        <v>365</v>
      </c>
      <c r="F5" s="118" t="s">
        <v>94</v>
      </c>
      <c r="H5" s="115"/>
      <c r="I5" s="115"/>
      <c r="J5" s="115"/>
      <c r="K5" s="115"/>
      <c r="L5" s="115"/>
    </row>
    <row r="6" spans="1:12" s="1" customFormat="1" ht="18" customHeight="1">
      <c r="B6" s="51" t="s">
        <v>2</v>
      </c>
      <c r="C6" s="51"/>
      <c r="D6" s="51"/>
      <c r="E6" s="73">
        <v>104</v>
      </c>
      <c r="H6" s="115"/>
      <c r="I6" s="115"/>
      <c r="J6" s="115"/>
      <c r="K6" s="115"/>
      <c r="L6" s="115"/>
    </row>
    <row r="7" spans="1:12" s="1" customFormat="1" ht="18" customHeight="1">
      <c r="B7" s="51"/>
      <c r="C7" s="51"/>
      <c r="D7" s="51"/>
      <c r="E7" s="51"/>
      <c r="H7" s="115"/>
      <c r="I7" s="115"/>
      <c r="J7" s="115"/>
      <c r="K7" s="115"/>
      <c r="L7" s="115"/>
    </row>
    <row r="8" spans="1:12" s="1" customFormat="1" ht="18" customHeight="1">
      <c r="B8" s="51" t="s">
        <v>3</v>
      </c>
      <c r="C8" s="51"/>
      <c r="D8" s="51"/>
      <c r="E8" s="85">
        <f>E5-E6</f>
        <v>261</v>
      </c>
      <c r="H8" s="115"/>
      <c r="I8" s="115"/>
      <c r="J8" s="115"/>
      <c r="K8" s="115"/>
      <c r="L8" s="115"/>
    </row>
    <row r="9" spans="1:12" s="1" customFormat="1" ht="18" customHeight="1">
      <c r="B9" s="51"/>
      <c r="C9" s="51"/>
      <c r="D9" s="51"/>
      <c r="E9" s="51"/>
      <c r="H9" s="115"/>
      <c r="I9" s="115"/>
      <c r="J9" s="115"/>
      <c r="K9" s="115"/>
      <c r="L9" s="115"/>
    </row>
    <row r="10" spans="1:12" s="1" customFormat="1" ht="18" customHeight="1">
      <c r="B10" s="51"/>
      <c r="C10" s="51"/>
      <c r="D10" s="51"/>
      <c r="E10" s="119" t="s">
        <v>4</v>
      </c>
      <c r="F10" s="120" t="s">
        <v>4</v>
      </c>
      <c r="H10" s="115"/>
      <c r="I10" s="115"/>
      <c r="J10" s="115"/>
      <c r="K10" s="115"/>
      <c r="L10" s="115"/>
    </row>
    <row r="11" spans="1:12" s="1" customFormat="1" ht="18" customHeight="1">
      <c r="B11" s="2" t="s">
        <v>5</v>
      </c>
      <c r="C11" s="51"/>
      <c r="D11" s="51"/>
      <c r="E11" s="51"/>
      <c r="H11" s="115"/>
      <c r="I11" s="115"/>
      <c r="J11" s="115"/>
      <c r="K11" s="115"/>
      <c r="L11" s="115"/>
    </row>
    <row r="12" spans="1:12" s="1" customFormat="1" ht="18" customHeight="1">
      <c r="B12" s="121" t="s">
        <v>63</v>
      </c>
      <c r="C12" s="122" t="s">
        <v>261</v>
      </c>
      <c r="D12" s="51"/>
      <c r="E12" s="51"/>
      <c r="H12" s="115"/>
      <c r="I12" s="115"/>
      <c r="J12" s="115"/>
      <c r="K12" s="115"/>
      <c r="L12" s="115"/>
    </row>
    <row r="13" spans="1:12" s="1" customFormat="1" ht="18" customHeight="1">
      <c r="B13" s="122" t="s">
        <v>64</v>
      </c>
      <c r="C13" s="122" t="s">
        <v>104</v>
      </c>
      <c r="D13" s="51"/>
      <c r="E13" s="51"/>
      <c r="H13" s="115"/>
      <c r="I13" s="115"/>
      <c r="J13" s="115"/>
      <c r="K13" s="115"/>
      <c r="L13" s="115"/>
    </row>
    <row r="14" spans="1:12" s="1" customFormat="1" ht="18" customHeight="1">
      <c r="B14" s="122" t="s">
        <v>65</v>
      </c>
      <c r="C14" s="122" t="s">
        <v>106</v>
      </c>
      <c r="D14" s="51"/>
      <c r="E14" s="105">
        <v>5</v>
      </c>
      <c r="H14" s="115"/>
      <c r="I14" s="115"/>
      <c r="J14" s="115"/>
      <c r="K14" s="115"/>
      <c r="L14" s="115"/>
    </row>
    <row r="15" spans="1:12" s="1" customFormat="1" ht="18" customHeight="1">
      <c r="B15" s="122" t="s">
        <v>102</v>
      </c>
      <c r="C15" s="122" t="s">
        <v>105</v>
      </c>
      <c r="D15" s="51"/>
      <c r="E15" s="51"/>
      <c r="H15" s="115"/>
      <c r="I15" s="115"/>
      <c r="J15" s="115"/>
      <c r="K15" s="115"/>
      <c r="L15" s="115"/>
    </row>
    <row r="16" spans="1:12" s="1" customFormat="1" ht="18" customHeight="1">
      <c r="B16" s="122" t="s">
        <v>103</v>
      </c>
      <c r="C16" s="122" t="s">
        <v>107</v>
      </c>
      <c r="D16" s="51"/>
      <c r="E16" s="51"/>
      <c r="H16" s="115"/>
      <c r="I16" s="115"/>
      <c r="J16" s="115"/>
      <c r="K16" s="115"/>
      <c r="L16" s="115"/>
    </row>
    <row r="17" spans="2:12" s="1" customFormat="1" ht="18" customHeight="1">
      <c r="B17" s="122" t="s">
        <v>262</v>
      </c>
      <c r="C17" s="122" t="s">
        <v>108</v>
      </c>
      <c r="D17" s="51"/>
      <c r="E17" s="51"/>
      <c r="H17" s="115"/>
      <c r="I17" s="115"/>
      <c r="J17" s="115"/>
      <c r="K17" s="115"/>
      <c r="L17" s="115"/>
    </row>
    <row r="18" spans="2:12" s="1" customFormat="1" ht="18" customHeight="1">
      <c r="B18" s="122"/>
      <c r="C18" s="122" t="s">
        <v>109</v>
      </c>
      <c r="D18" s="51"/>
      <c r="E18" s="51"/>
      <c r="H18" s="115"/>
      <c r="I18" s="115"/>
      <c r="J18" s="115"/>
      <c r="K18" s="115"/>
      <c r="L18" s="115"/>
    </row>
    <row r="19" spans="2:12" s="1" customFormat="1" ht="18" customHeight="1">
      <c r="B19" s="122"/>
      <c r="C19" s="122"/>
      <c r="D19" s="51"/>
      <c r="E19" s="51"/>
      <c r="H19" s="115"/>
      <c r="I19" s="115"/>
      <c r="J19" s="115"/>
      <c r="K19" s="115"/>
      <c r="L19" s="115"/>
    </row>
    <row r="20" spans="2:12" s="1" customFormat="1" ht="18" customHeight="1">
      <c r="B20" s="123"/>
      <c r="C20" s="122"/>
      <c r="D20" s="51"/>
      <c r="E20" s="51"/>
      <c r="H20" s="115"/>
      <c r="I20" s="115"/>
      <c r="J20" s="115"/>
      <c r="K20" s="115"/>
      <c r="L20" s="115"/>
    </row>
    <row r="21" spans="2:12" s="1" customFormat="1" ht="18" customHeight="1">
      <c r="B21" s="51"/>
      <c r="C21" s="51"/>
      <c r="D21" s="51"/>
      <c r="E21" s="124"/>
      <c r="H21" s="115"/>
      <c r="I21" s="115"/>
      <c r="J21" s="115"/>
      <c r="K21" s="115"/>
      <c r="L21" s="115"/>
    </row>
    <row r="22" spans="2:12" s="1" customFormat="1" ht="18" customHeight="1">
      <c r="B22" s="51"/>
      <c r="C22" s="51"/>
      <c r="D22" s="51"/>
      <c r="E22" s="51"/>
      <c r="H22" s="115"/>
      <c r="I22" s="115"/>
      <c r="J22" s="115"/>
      <c r="K22" s="115"/>
      <c r="L22" s="115"/>
    </row>
    <row r="23" spans="2:12" s="1" customFormat="1" ht="18" customHeight="1">
      <c r="B23" s="2" t="s">
        <v>6</v>
      </c>
      <c r="C23" s="51"/>
      <c r="D23" s="51"/>
      <c r="E23" s="219">
        <f>E8-E14</f>
        <v>256</v>
      </c>
      <c r="H23" s="115"/>
      <c r="I23" s="115"/>
      <c r="J23" s="115"/>
      <c r="K23" s="115"/>
      <c r="L23" s="115"/>
    </row>
    <row r="24" spans="2:12" s="1" customFormat="1" ht="18" customHeight="1">
      <c r="B24" s="51"/>
      <c r="C24" s="51"/>
      <c r="D24" s="51"/>
      <c r="E24" s="51"/>
      <c r="H24" s="115"/>
      <c r="I24" s="115"/>
      <c r="J24" s="115"/>
      <c r="K24" s="115"/>
      <c r="L24" s="115"/>
    </row>
    <row r="25" spans="2:12" s="1" customFormat="1" ht="18" customHeight="1">
      <c r="B25" s="51"/>
      <c r="C25" s="51"/>
      <c r="D25" s="51"/>
      <c r="E25" s="51"/>
      <c r="H25" s="115"/>
      <c r="I25" s="115"/>
      <c r="J25" s="115"/>
      <c r="K25" s="115"/>
      <c r="L25" s="115"/>
    </row>
    <row r="26" spans="2:12" s="1" customFormat="1" ht="18" customHeight="1">
      <c r="B26" s="62" t="s">
        <v>213</v>
      </c>
      <c r="C26" s="339" t="s">
        <v>212</v>
      </c>
      <c r="D26" s="51"/>
      <c r="E26" s="62" t="s">
        <v>7</v>
      </c>
      <c r="H26" s="115"/>
      <c r="I26" s="115"/>
      <c r="J26" s="115"/>
      <c r="K26" s="115"/>
      <c r="L26" s="115"/>
    </row>
    <row r="27" spans="2:12" s="1" customFormat="1" ht="18" customHeight="1">
      <c r="B27" s="70"/>
      <c r="C27" s="340"/>
      <c r="D27" s="51"/>
      <c r="E27" s="66" t="s">
        <v>8</v>
      </c>
      <c r="H27" s="115"/>
      <c r="I27" s="115"/>
      <c r="J27" s="115"/>
      <c r="K27" s="115"/>
      <c r="L27" s="115"/>
    </row>
    <row r="28" spans="2:12" s="1" customFormat="1" ht="18" customHeight="1">
      <c r="B28" s="214">
        <v>41</v>
      </c>
      <c r="C28" s="218">
        <f>B28/5</f>
        <v>8.1999999999999993</v>
      </c>
      <c r="D28" s="51"/>
      <c r="E28" s="125">
        <f>$E$23*C28</f>
        <v>2099.1999999999998</v>
      </c>
      <c r="H28" s="115"/>
      <c r="I28" s="115"/>
      <c r="J28" s="115"/>
      <c r="K28" s="115"/>
      <c r="L28" s="115"/>
    </row>
    <row r="29" spans="2:12" s="1" customFormat="1" ht="18" customHeight="1">
      <c r="B29" s="51"/>
      <c r="C29" s="51"/>
      <c r="D29" s="51"/>
      <c r="E29" s="51"/>
      <c r="H29" s="115"/>
      <c r="I29" s="115"/>
      <c r="J29" s="115"/>
      <c r="K29" s="115"/>
      <c r="L29" s="115"/>
    </row>
    <row r="30" spans="2:12" s="1" customFormat="1" ht="18" customHeight="1">
      <c r="B30" s="126" t="s">
        <v>93</v>
      </c>
      <c r="C30" s="127"/>
      <c r="D30" s="51"/>
      <c r="E30" s="215">
        <f>E28</f>
        <v>2099.1999999999998</v>
      </c>
      <c r="H30" s="115"/>
      <c r="I30" s="115"/>
      <c r="J30" s="115"/>
      <c r="K30" s="115"/>
      <c r="L30" s="115"/>
    </row>
    <row r="31" spans="2:12" s="1" customFormat="1" ht="18" customHeight="1">
      <c r="B31" s="51"/>
      <c r="C31" s="51"/>
      <c r="D31" s="51"/>
      <c r="E31" s="51"/>
      <c r="H31" s="115"/>
      <c r="I31" s="115"/>
      <c r="J31" s="115"/>
      <c r="K31" s="115"/>
      <c r="L31" s="115"/>
    </row>
    <row r="32" spans="2:12" s="1" customFormat="1" ht="18" customHeight="1">
      <c r="B32" s="51"/>
      <c r="C32" s="51"/>
      <c r="D32" s="51"/>
      <c r="E32" s="51"/>
      <c r="H32" s="115"/>
      <c r="I32" s="115"/>
      <c r="J32" s="115"/>
      <c r="K32" s="115"/>
      <c r="L32" s="115"/>
    </row>
    <row r="33" spans="2:12" s="1" customFormat="1" ht="18" customHeight="1">
      <c r="B33" s="51"/>
      <c r="C33" s="51"/>
      <c r="D33" s="51"/>
      <c r="E33" s="51"/>
      <c r="H33" s="115"/>
      <c r="I33" s="115"/>
      <c r="J33" s="115"/>
      <c r="K33" s="115"/>
      <c r="L33" s="115"/>
    </row>
    <row r="34" spans="2:12" s="1" customFormat="1" ht="18" customHeight="1">
      <c r="B34" s="51"/>
      <c r="C34" s="51"/>
      <c r="D34" s="51"/>
      <c r="E34" s="51"/>
      <c r="H34" s="115"/>
      <c r="I34" s="115"/>
      <c r="J34" s="115"/>
      <c r="K34" s="115"/>
      <c r="L34" s="115"/>
    </row>
    <row r="35" spans="2:12" s="1" customFormat="1" ht="18" customHeight="1">
      <c r="B35" s="51"/>
      <c r="C35" s="51"/>
      <c r="D35" s="51"/>
      <c r="E35" s="51"/>
      <c r="H35" s="115"/>
      <c r="I35" s="115"/>
      <c r="J35" s="115"/>
      <c r="K35" s="115"/>
      <c r="L35" s="115"/>
    </row>
    <row r="37" spans="2:12" s="1" customFormat="1" ht="18" customHeight="1">
      <c r="B37" s="51"/>
      <c r="C37" s="51"/>
      <c r="D37" s="54"/>
      <c r="E37" s="51"/>
      <c r="F37" s="211">
        <f>E30/E23</f>
        <v>8.1999999999999993</v>
      </c>
      <c r="H37" s="115"/>
      <c r="I37" s="115"/>
      <c r="J37" s="115"/>
      <c r="K37" s="115"/>
      <c r="L37" s="115"/>
    </row>
    <row r="38" spans="2:12">
      <c r="B38" s="33"/>
      <c r="C38" s="33"/>
      <c r="E38" s="33"/>
    </row>
    <row r="39" spans="2:12">
      <c r="B39" s="33"/>
      <c r="C39" s="33"/>
      <c r="E39" s="33"/>
    </row>
    <row r="40" spans="2:12">
      <c r="B40" s="33"/>
      <c r="C40" s="33"/>
      <c r="E40" s="33"/>
    </row>
    <row r="41" spans="2:12">
      <c r="B41" s="33"/>
      <c r="C41" s="33"/>
      <c r="E41" s="33"/>
    </row>
    <row r="42" spans="2:12">
      <c r="B42" s="33"/>
      <c r="C42" s="33"/>
      <c r="E42" s="33"/>
    </row>
    <row r="43" spans="2:12">
      <c r="B43" s="33"/>
      <c r="C43" s="33"/>
      <c r="E43" s="33"/>
    </row>
    <row r="44" spans="2:12">
      <c r="B44" s="33"/>
      <c r="C44" s="33"/>
      <c r="E44" s="33"/>
    </row>
    <row r="45" spans="2:12" s="33" customFormat="1"/>
    <row r="46" spans="2:12" s="33" customFormat="1"/>
    <row r="47" spans="2:12" s="33" customFormat="1"/>
    <row r="48" spans="2:12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="33" customFormat="1"/>
    <row r="226" s="33" customFormat="1"/>
    <row r="227" s="33" customFormat="1"/>
    <row r="228" s="33" customFormat="1"/>
    <row r="229" s="33" customFormat="1"/>
    <row r="230" s="33" customFormat="1"/>
    <row r="231" s="33" customFormat="1"/>
    <row r="232" s="33" customFormat="1"/>
    <row r="233" s="33" customFormat="1"/>
    <row r="234" s="33" customFormat="1"/>
    <row r="235" s="33" customFormat="1"/>
    <row r="236" s="33" customFormat="1"/>
    <row r="237" s="33" customFormat="1"/>
    <row r="238" s="33" customFormat="1"/>
    <row r="239" s="33" customFormat="1"/>
    <row r="240" s="33" customFormat="1"/>
    <row r="241" s="33" customFormat="1"/>
    <row r="242" s="33" customFormat="1"/>
    <row r="243" s="33" customFormat="1"/>
    <row r="244" s="33" customFormat="1"/>
    <row r="245" s="33" customFormat="1"/>
    <row r="246" s="33" customFormat="1"/>
    <row r="247" s="33" customFormat="1"/>
    <row r="248" s="33" customFormat="1"/>
    <row r="249" s="33" customFormat="1"/>
    <row r="250" s="33" customFormat="1"/>
    <row r="251" s="33" customFormat="1"/>
    <row r="252" s="33" customFormat="1"/>
    <row r="253" s="33" customFormat="1"/>
    <row r="254" s="33" customFormat="1"/>
    <row r="255" s="33" customFormat="1"/>
    <row r="256" s="33" customFormat="1"/>
    <row r="257" s="33" customFormat="1"/>
    <row r="258" s="33" customFormat="1"/>
    <row r="259" s="33" customFormat="1"/>
    <row r="260" s="33" customFormat="1"/>
    <row r="261" s="33" customFormat="1"/>
    <row r="262" s="33" customFormat="1"/>
    <row r="263" s="33" customFormat="1"/>
    <row r="264" s="33" customFormat="1"/>
    <row r="265" s="33" customFormat="1"/>
    <row r="266" s="33" customFormat="1"/>
    <row r="267" s="33" customFormat="1"/>
    <row r="268" s="33" customFormat="1"/>
    <row r="269" s="33" customFormat="1"/>
    <row r="270" s="33" customFormat="1"/>
    <row r="271" s="33" customFormat="1"/>
    <row r="272" s="33" customFormat="1"/>
    <row r="273" s="33" customFormat="1"/>
    <row r="274" s="33" customFormat="1"/>
    <row r="275" s="33" customFormat="1"/>
    <row r="276" s="33" customFormat="1"/>
    <row r="277" s="33" customFormat="1"/>
    <row r="278" s="33" customFormat="1"/>
    <row r="279" s="33" customFormat="1"/>
    <row r="280" s="33" customFormat="1"/>
    <row r="281" s="33" customFormat="1"/>
    <row r="282" s="33" customFormat="1"/>
    <row r="283" s="33" customFormat="1"/>
    <row r="284" s="33" customFormat="1"/>
    <row r="285" s="33" customFormat="1"/>
    <row r="286" s="33" customFormat="1"/>
    <row r="287" s="33" customFormat="1"/>
    <row r="288" s="33" customFormat="1"/>
    <row r="289" s="33" customFormat="1"/>
    <row r="290" s="33" customFormat="1"/>
    <row r="291" s="33" customFormat="1"/>
    <row r="292" s="33" customFormat="1"/>
    <row r="293" s="33" customFormat="1"/>
    <row r="294" s="33" customFormat="1"/>
    <row r="295" s="33" customFormat="1"/>
    <row r="296" s="33" customFormat="1"/>
    <row r="297" s="33" customFormat="1"/>
    <row r="298" s="33" customFormat="1"/>
    <row r="299" s="33" customFormat="1"/>
    <row r="300" s="33" customFormat="1"/>
    <row r="301" s="33" customFormat="1"/>
    <row r="302" s="33" customFormat="1"/>
    <row r="303" s="33" customFormat="1"/>
    <row r="304" s="33" customFormat="1"/>
    <row r="305" s="33" customFormat="1"/>
    <row r="306" s="33" customFormat="1"/>
    <row r="307" s="33" customFormat="1"/>
    <row r="308" s="33" customFormat="1"/>
    <row r="309" s="33" customFormat="1"/>
    <row r="310" s="33" customFormat="1"/>
    <row r="311" s="33" customFormat="1"/>
    <row r="312" s="33" customFormat="1"/>
    <row r="313" s="33" customFormat="1"/>
    <row r="314" s="33" customFormat="1"/>
    <row r="315" s="33" customFormat="1"/>
    <row r="316" s="33" customFormat="1"/>
    <row r="317" s="33" customFormat="1"/>
    <row r="318" s="33" customFormat="1"/>
    <row r="319" s="33" customFormat="1"/>
    <row r="320" s="33" customFormat="1"/>
    <row r="321" s="33" customFormat="1"/>
    <row r="322" s="33" customFormat="1"/>
    <row r="323" s="33" customFormat="1"/>
    <row r="324" s="33" customFormat="1"/>
    <row r="325" s="33" customFormat="1"/>
    <row r="326" s="33" customFormat="1"/>
    <row r="327" s="33" customFormat="1"/>
    <row r="328" s="33" customFormat="1"/>
    <row r="329" s="33" customFormat="1"/>
    <row r="330" s="33" customFormat="1"/>
    <row r="331" s="33" customFormat="1"/>
    <row r="332" s="33" customFormat="1"/>
    <row r="333" s="33" customFormat="1"/>
    <row r="334" s="33" customFormat="1"/>
    <row r="335" s="33" customFormat="1"/>
    <row r="336" s="33" customFormat="1"/>
    <row r="337" s="33" customFormat="1"/>
    <row r="338" s="33" customFormat="1"/>
    <row r="339" s="33" customFormat="1"/>
    <row r="340" s="33" customFormat="1"/>
    <row r="341" s="33" customFormat="1"/>
    <row r="342" s="33" customFormat="1"/>
    <row r="343" s="33" customFormat="1"/>
    <row r="344" s="33" customFormat="1"/>
    <row r="345" s="33" customFormat="1"/>
    <row r="346" s="33" customFormat="1"/>
    <row r="347" s="33" customFormat="1"/>
    <row r="348" s="33" customFormat="1"/>
    <row r="349" s="33" customFormat="1"/>
    <row r="350" s="33" customFormat="1"/>
    <row r="351" s="33" customFormat="1"/>
    <row r="352" s="33" customFormat="1"/>
    <row r="353" s="33" customFormat="1"/>
    <row r="354" s="33" customFormat="1"/>
    <row r="355" s="33" customFormat="1"/>
    <row r="356" s="33" customFormat="1"/>
    <row r="357" s="33" customFormat="1"/>
    <row r="358" s="33" customFormat="1"/>
    <row r="359" s="33" customFormat="1"/>
    <row r="360" s="33" customFormat="1"/>
    <row r="361" s="33" customFormat="1"/>
    <row r="362" s="33" customFormat="1"/>
    <row r="363" s="33" customFormat="1"/>
    <row r="364" s="33" customFormat="1"/>
    <row r="365" s="33" customFormat="1"/>
    <row r="366" s="33" customFormat="1"/>
    <row r="367" s="33" customFormat="1"/>
    <row r="368" s="33" customFormat="1"/>
    <row r="369" s="33" customFormat="1"/>
    <row r="370" s="33" customFormat="1"/>
    <row r="371" s="33" customFormat="1"/>
    <row r="372" s="33" customFormat="1"/>
    <row r="373" s="33" customFormat="1"/>
    <row r="374" s="33" customFormat="1"/>
    <row r="375" s="33" customFormat="1"/>
    <row r="376" s="33" customFormat="1"/>
    <row r="377" s="33" customFormat="1"/>
    <row r="378" s="33" customFormat="1"/>
    <row r="379" s="33" customFormat="1"/>
    <row r="380" s="33" customFormat="1"/>
    <row r="381" s="33" customFormat="1"/>
    <row r="382" s="33" customFormat="1"/>
    <row r="383" s="33" customFormat="1"/>
    <row r="384" s="33" customFormat="1"/>
    <row r="385" s="33" customFormat="1"/>
    <row r="386" s="33" customFormat="1"/>
    <row r="387" s="33" customFormat="1"/>
    <row r="388" s="33" customFormat="1"/>
    <row r="389" s="33" customFormat="1"/>
    <row r="390" s="33" customFormat="1"/>
    <row r="391" s="33" customFormat="1"/>
    <row r="392" s="33" customFormat="1"/>
    <row r="393" s="33" customFormat="1"/>
    <row r="394" s="33" customFormat="1"/>
    <row r="395" s="33" customFormat="1"/>
    <row r="396" s="33" customFormat="1"/>
    <row r="397" s="33" customFormat="1"/>
    <row r="398" s="33" customFormat="1"/>
    <row r="399" s="33" customFormat="1"/>
    <row r="400" s="33" customFormat="1"/>
    <row r="401" s="33" customFormat="1"/>
    <row r="402" s="33" customFormat="1"/>
    <row r="403" s="33" customFormat="1"/>
    <row r="404" s="33" customFormat="1"/>
    <row r="405" s="33" customFormat="1"/>
    <row r="406" s="33" customFormat="1"/>
    <row r="407" s="33" customFormat="1"/>
    <row r="408" s="33" customFormat="1"/>
    <row r="409" s="33" customFormat="1"/>
    <row r="410" s="33" customFormat="1"/>
    <row r="411" s="33" customFormat="1"/>
    <row r="412" s="33" customFormat="1"/>
    <row r="413" s="33" customFormat="1"/>
    <row r="414" s="33" customFormat="1"/>
    <row r="415" s="33" customFormat="1"/>
    <row r="416" s="33" customFormat="1"/>
    <row r="417" s="33" customFormat="1"/>
    <row r="418" s="33" customFormat="1"/>
    <row r="419" s="33" customFormat="1"/>
    <row r="420" s="33" customFormat="1"/>
    <row r="421" s="33" customFormat="1"/>
    <row r="422" s="33" customFormat="1"/>
    <row r="423" s="33" customFormat="1"/>
    <row r="424" s="33" customFormat="1"/>
    <row r="425" s="33" customFormat="1"/>
    <row r="426" s="33" customFormat="1"/>
    <row r="427" s="33" customFormat="1"/>
    <row r="428" s="33" customFormat="1"/>
    <row r="429" s="33" customFormat="1"/>
    <row r="430" s="33" customFormat="1"/>
    <row r="431" s="33" customFormat="1"/>
    <row r="432" s="33" customFormat="1"/>
    <row r="433" s="33" customFormat="1"/>
    <row r="434" s="33" customFormat="1"/>
    <row r="435" s="33" customFormat="1"/>
    <row r="436" s="33" customFormat="1"/>
    <row r="437" s="33" customFormat="1"/>
    <row r="438" s="33" customFormat="1"/>
    <row r="439" s="33" customFormat="1"/>
    <row r="440" s="33" customFormat="1"/>
    <row r="441" s="33" customFormat="1"/>
    <row r="442" s="33" customFormat="1"/>
    <row r="443" s="33" customFormat="1"/>
    <row r="444" s="33" customFormat="1"/>
    <row r="445" s="33" customFormat="1"/>
    <row r="446" s="33" customFormat="1"/>
    <row r="447" s="33" customFormat="1"/>
    <row r="448" s="33" customFormat="1"/>
    <row r="449" spans="2:5" s="33" customFormat="1">
      <c r="B449" s="51"/>
      <c r="C449" s="51"/>
      <c r="E449" s="51"/>
    </row>
    <row r="450" spans="2:5" s="33" customFormat="1">
      <c r="B450" s="51"/>
      <c r="C450" s="51"/>
      <c r="E450" s="51"/>
    </row>
    <row r="451" spans="2:5" s="33" customFormat="1">
      <c r="B451" s="51"/>
      <c r="C451" s="51"/>
      <c r="E451" s="51"/>
    </row>
    <row r="452" spans="2:5" s="33" customFormat="1">
      <c r="B452" s="51"/>
      <c r="C452" s="51"/>
      <c r="E452" s="51"/>
    </row>
    <row r="453" spans="2:5" s="33" customFormat="1">
      <c r="B453" s="51"/>
      <c r="C453" s="51"/>
      <c r="E453" s="51"/>
    </row>
    <row r="454" spans="2:5" s="33" customFormat="1">
      <c r="B454" s="51"/>
      <c r="C454" s="51"/>
      <c r="E454" s="51"/>
    </row>
    <row r="455" spans="2:5" s="33" customFormat="1">
      <c r="B455" s="51"/>
      <c r="C455" s="51"/>
      <c r="E455" s="51"/>
    </row>
  </sheetData>
  <mergeCells count="1">
    <mergeCell ref="C26:C27"/>
  </mergeCells>
  <phoneticPr fontId="0" type="noConversion"/>
  <pageMargins left="0.78740157499999996" right="0.16" top="0.76" bottom="0.7" header="0.4921259845" footer="0.4921259845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2"/>
  <sheetViews>
    <sheetView topLeftCell="A13" zoomScaleNormal="100" workbookViewId="0">
      <selection activeCell="M24" sqref="M24"/>
    </sheetView>
  </sheetViews>
  <sheetFormatPr baseColWidth="10" defaultColWidth="11.42578125" defaultRowHeight="12.75"/>
  <cols>
    <col min="1" max="1" width="21.7109375" style="51" bestFit="1" customWidth="1"/>
    <col min="2" max="2" width="9.28515625" style="51" bestFit="1" customWidth="1"/>
    <col min="3" max="3" width="10.140625" style="51" bestFit="1" customWidth="1"/>
    <col min="4" max="4" width="10.28515625" style="51" bestFit="1" customWidth="1"/>
    <col min="5" max="5" width="10.140625" style="51" customWidth="1"/>
    <col min="6" max="6" width="9" style="51" bestFit="1" customWidth="1"/>
    <col min="7" max="7" width="8.7109375" style="51" customWidth="1"/>
    <col min="8" max="8" width="11.28515625" style="51" bestFit="1" customWidth="1"/>
    <col min="9" max="9" width="9.42578125" style="51" bestFit="1" customWidth="1"/>
    <col min="10" max="10" width="9.42578125" style="51" customWidth="1"/>
    <col min="11" max="11" width="17.140625" style="51" bestFit="1" customWidth="1"/>
    <col min="12" max="12" width="12.28515625" style="51" bestFit="1" customWidth="1"/>
    <col min="13" max="13" width="12" style="90" customWidth="1"/>
    <col min="14" max="14" width="10" style="51" customWidth="1"/>
    <col min="15" max="15" width="9.85546875" style="51" customWidth="1"/>
    <col min="16" max="16384" width="11.42578125" style="51"/>
  </cols>
  <sheetData>
    <row r="1" spans="1:14" ht="27">
      <c r="A1" s="341" t="s">
        <v>238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3"/>
    </row>
    <row r="3" spans="1:14">
      <c r="A3" s="52" t="s">
        <v>61</v>
      </c>
      <c r="B3" s="86">
        <f>Jahresdaten!C3</f>
        <v>2021</v>
      </c>
      <c r="E3" s="83" t="s">
        <v>66</v>
      </c>
      <c r="F3" s="87"/>
      <c r="G3" s="87"/>
      <c r="H3" s="87"/>
      <c r="I3" s="88"/>
      <c r="J3" s="88"/>
      <c r="K3" s="89">
        <f>Jahresdaten!E30</f>
        <v>2099.1999999999998</v>
      </c>
      <c r="L3" s="54" t="s">
        <v>4</v>
      </c>
    </row>
    <row r="4" spans="1:14">
      <c r="N4" s="54"/>
    </row>
    <row r="5" spans="1:14" ht="13.5" thickBot="1">
      <c r="D5" s="91" t="s">
        <v>9</v>
      </c>
      <c r="E5" s="92"/>
      <c r="F5" s="92"/>
      <c r="G5" s="92"/>
      <c r="H5" s="82"/>
      <c r="I5" s="91" t="s">
        <v>10</v>
      </c>
      <c r="J5" s="216"/>
      <c r="K5" s="92"/>
      <c r="L5" s="92"/>
      <c r="M5" s="93"/>
    </row>
    <row r="6" spans="1:14">
      <c r="A6" s="59" t="s">
        <v>11</v>
      </c>
      <c r="B6" s="60" t="s">
        <v>12</v>
      </c>
      <c r="C6" s="94" t="s">
        <v>13</v>
      </c>
      <c r="D6" s="95" t="s">
        <v>71</v>
      </c>
      <c r="E6" s="95" t="s">
        <v>96</v>
      </c>
      <c r="F6" s="95" t="s">
        <v>72</v>
      </c>
      <c r="G6" s="95" t="s">
        <v>14</v>
      </c>
      <c r="H6" s="95" t="s">
        <v>74</v>
      </c>
      <c r="I6" s="95" t="s">
        <v>20</v>
      </c>
      <c r="J6" s="344" t="s">
        <v>211</v>
      </c>
      <c r="K6" s="64" t="s">
        <v>15</v>
      </c>
      <c r="L6" s="95" t="s">
        <v>22</v>
      </c>
      <c r="M6" s="96" t="s">
        <v>23</v>
      </c>
    </row>
    <row r="7" spans="1:14">
      <c r="A7" s="63" t="s">
        <v>16</v>
      </c>
      <c r="B7" s="64" t="s">
        <v>95</v>
      </c>
      <c r="C7" s="95" t="s">
        <v>17</v>
      </c>
      <c r="D7" s="95" t="s">
        <v>17</v>
      </c>
      <c r="E7" s="95" t="s">
        <v>17</v>
      </c>
      <c r="F7" s="95" t="s">
        <v>17</v>
      </c>
      <c r="G7" s="95" t="s">
        <v>17</v>
      </c>
      <c r="H7" s="95" t="s">
        <v>75</v>
      </c>
      <c r="I7" s="95" t="s">
        <v>21</v>
      </c>
      <c r="J7" s="345"/>
      <c r="K7" s="64" t="s">
        <v>18</v>
      </c>
      <c r="L7" s="95" t="s">
        <v>259</v>
      </c>
      <c r="M7" s="97" t="s">
        <v>24</v>
      </c>
    </row>
    <row r="8" spans="1:14">
      <c r="A8" s="67"/>
      <c r="B8" s="98"/>
      <c r="C8" s="98"/>
      <c r="D8" s="98"/>
      <c r="E8" s="98"/>
      <c r="F8" s="98"/>
      <c r="G8" s="98"/>
      <c r="H8" s="98" t="s">
        <v>17</v>
      </c>
      <c r="I8" s="98"/>
      <c r="J8" s="346"/>
      <c r="K8" s="68" t="s">
        <v>76</v>
      </c>
      <c r="L8" s="98">
        <v>100</v>
      </c>
      <c r="M8" s="99">
        <f>B3</f>
        <v>2021</v>
      </c>
    </row>
    <row r="9" spans="1:14">
      <c r="A9" s="254" t="s">
        <v>227</v>
      </c>
      <c r="B9" s="72" t="s">
        <v>82</v>
      </c>
      <c r="C9" s="100">
        <f>IF(A9&gt;1,Jahresdaten!$E$23,0)</f>
        <v>256</v>
      </c>
      <c r="D9" s="101">
        <v>20</v>
      </c>
      <c r="E9" s="101">
        <v>5</v>
      </c>
      <c r="F9" s="101">
        <v>0</v>
      </c>
      <c r="G9" s="101">
        <v>3</v>
      </c>
      <c r="H9" s="101">
        <v>0</v>
      </c>
      <c r="I9" s="102">
        <f>C9-(SUM(D9:H9))</f>
        <v>228</v>
      </c>
      <c r="J9" s="220">
        <v>0.5</v>
      </c>
      <c r="K9" s="103">
        <f>I9*Jahresdaten!$F$37*J9</f>
        <v>934.8</v>
      </c>
      <c r="L9" s="104">
        <v>30</v>
      </c>
      <c r="M9" s="103">
        <f>K9/$L$8*L9</f>
        <v>280.43999999999994</v>
      </c>
    </row>
    <row r="10" spans="1:14">
      <c r="A10" s="254" t="s">
        <v>228</v>
      </c>
      <c r="B10" s="72" t="s">
        <v>229</v>
      </c>
      <c r="C10" s="100">
        <f>IF(A10&gt;1,Jahresdaten!$E$23,0)</f>
        <v>256</v>
      </c>
      <c r="D10" s="105">
        <v>25</v>
      </c>
      <c r="E10" s="105">
        <v>8</v>
      </c>
      <c r="F10" s="105">
        <v>0</v>
      </c>
      <c r="G10" s="101">
        <v>3</v>
      </c>
      <c r="H10" s="101">
        <v>0</v>
      </c>
      <c r="I10" s="102">
        <f t="shared" ref="I10:I23" si="0">C10-(SUM(D10:H10))</f>
        <v>220</v>
      </c>
      <c r="J10" s="220">
        <v>0.8</v>
      </c>
      <c r="K10" s="103">
        <f>I10*Jahresdaten!$F$37*J10</f>
        <v>1443.1999999999998</v>
      </c>
      <c r="L10" s="104">
        <v>70</v>
      </c>
      <c r="M10" s="103">
        <f t="shared" ref="M10:M23" si="1">K10/$L$8*L10</f>
        <v>1010.2399999999999</v>
      </c>
    </row>
    <row r="11" spans="1:14">
      <c r="A11" s="254" t="s">
        <v>230</v>
      </c>
      <c r="B11" s="72" t="s">
        <v>231</v>
      </c>
      <c r="C11" s="100">
        <f>IF(A11&gt;1,Jahresdaten!$E$23,0)</f>
        <v>256</v>
      </c>
      <c r="D11" s="105">
        <v>20</v>
      </c>
      <c r="E11" s="105">
        <v>5</v>
      </c>
      <c r="F11" s="105">
        <v>15</v>
      </c>
      <c r="G11" s="101">
        <v>3</v>
      </c>
      <c r="H11" s="101">
        <v>25</v>
      </c>
      <c r="I11" s="102">
        <f t="shared" si="0"/>
        <v>188</v>
      </c>
      <c r="J11" s="220">
        <v>0.8</v>
      </c>
      <c r="K11" s="103">
        <f>I11*Jahresdaten!$F$37*J11</f>
        <v>1233.28</v>
      </c>
      <c r="L11" s="104">
        <v>90</v>
      </c>
      <c r="M11" s="103">
        <f t="shared" si="1"/>
        <v>1109.952</v>
      </c>
    </row>
    <row r="12" spans="1:14">
      <c r="A12" s="254" t="s">
        <v>232</v>
      </c>
      <c r="B12" s="72" t="s">
        <v>233</v>
      </c>
      <c r="C12" s="100">
        <f>IF(A12&gt;1,Jahresdaten!$E$23,0)</f>
        <v>256</v>
      </c>
      <c r="D12" s="105">
        <v>20</v>
      </c>
      <c r="E12" s="105">
        <v>5</v>
      </c>
      <c r="F12" s="105">
        <v>0</v>
      </c>
      <c r="G12" s="101">
        <v>3</v>
      </c>
      <c r="H12" s="101">
        <v>0</v>
      </c>
      <c r="I12" s="102">
        <f t="shared" si="0"/>
        <v>228</v>
      </c>
      <c r="J12" s="220">
        <v>0.8</v>
      </c>
      <c r="K12" s="103">
        <f>I12*Jahresdaten!$F$37*J12</f>
        <v>1495.68</v>
      </c>
      <c r="L12" s="104">
        <v>90</v>
      </c>
      <c r="M12" s="103">
        <f t="shared" si="1"/>
        <v>1346.1120000000001</v>
      </c>
    </row>
    <row r="13" spans="1:14">
      <c r="A13" s="254" t="s">
        <v>234</v>
      </c>
      <c r="B13" s="72" t="s">
        <v>118</v>
      </c>
      <c r="C13" s="100">
        <f>IF(A13&gt;1,Jahresdaten!$E$23,0)</f>
        <v>256</v>
      </c>
      <c r="D13" s="105">
        <v>20</v>
      </c>
      <c r="E13" s="105">
        <v>3</v>
      </c>
      <c r="F13" s="105">
        <v>0</v>
      </c>
      <c r="G13" s="105">
        <v>3</v>
      </c>
      <c r="H13" s="101">
        <v>0</v>
      </c>
      <c r="I13" s="102">
        <f>C13-(SUM(D13:H13))</f>
        <v>230</v>
      </c>
      <c r="J13" s="220">
        <v>0.5</v>
      </c>
      <c r="K13" s="103">
        <f>I13*Jahresdaten!$F$37*J13</f>
        <v>942.99999999999989</v>
      </c>
      <c r="L13" s="104">
        <v>50</v>
      </c>
      <c r="M13" s="103">
        <f t="shared" si="1"/>
        <v>471.5</v>
      </c>
    </row>
    <row r="14" spans="1:14">
      <c r="A14" s="254" t="s">
        <v>235</v>
      </c>
      <c r="B14" s="72" t="s">
        <v>236</v>
      </c>
      <c r="C14" s="100">
        <f>IF(A14&gt;1,Jahresdaten!$E$23,0)</f>
        <v>256</v>
      </c>
      <c r="D14" s="105">
        <v>20</v>
      </c>
      <c r="E14" s="105">
        <v>3</v>
      </c>
      <c r="F14" s="105">
        <v>0</v>
      </c>
      <c r="G14" s="105">
        <v>3</v>
      </c>
      <c r="H14" s="101">
        <v>0</v>
      </c>
      <c r="I14" s="102">
        <f>C14-(SUM(D14:H14))</f>
        <v>230</v>
      </c>
      <c r="J14" s="220">
        <v>0.5</v>
      </c>
      <c r="K14" s="103">
        <f>I14*Jahresdaten!$F$37*J14</f>
        <v>942.99999999999989</v>
      </c>
      <c r="L14" s="104">
        <v>60</v>
      </c>
      <c r="M14" s="103">
        <f t="shared" si="1"/>
        <v>565.79999999999995</v>
      </c>
    </row>
    <row r="15" spans="1:14">
      <c r="A15" s="254" t="s">
        <v>237</v>
      </c>
      <c r="B15" s="72" t="s">
        <v>69</v>
      </c>
      <c r="C15" s="100">
        <f>IF(A15&gt;1,Jahresdaten!$E$23,0)</f>
        <v>256</v>
      </c>
      <c r="D15" s="105">
        <v>25</v>
      </c>
      <c r="E15" s="105">
        <v>42</v>
      </c>
      <c r="F15" s="105">
        <v>0</v>
      </c>
      <c r="G15" s="105">
        <v>3</v>
      </c>
      <c r="H15" s="101">
        <v>0</v>
      </c>
      <c r="I15" s="102">
        <f t="shared" si="0"/>
        <v>186</v>
      </c>
      <c r="J15" s="220">
        <v>1</v>
      </c>
      <c r="K15" s="103">
        <f>I15*Jahresdaten!$F$37*J15</f>
        <v>1525.1999999999998</v>
      </c>
      <c r="L15" s="104">
        <v>30</v>
      </c>
      <c r="M15" s="103">
        <f t="shared" si="1"/>
        <v>457.55999999999995</v>
      </c>
    </row>
    <row r="16" spans="1:14">
      <c r="A16" s="254" t="s">
        <v>246</v>
      </c>
      <c r="B16" s="72" t="s">
        <v>70</v>
      </c>
      <c r="C16" s="100">
        <f>IF(A16&gt;1,Jahresdaten!$E$23,0)</f>
        <v>256</v>
      </c>
      <c r="D16" s="105">
        <v>25</v>
      </c>
      <c r="E16" s="105">
        <v>42</v>
      </c>
      <c r="F16" s="105">
        <v>0</v>
      </c>
      <c r="G16" s="105">
        <v>3</v>
      </c>
      <c r="H16" s="101">
        <v>0</v>
      </c>
      <c r="I16" s="102">
        <f t="shared" si="0"/>
        <v>186</v>
      </c>
      <c r="J16" s="220">
        <v>1</v>
      </c>
      <c r="K16" s="103">
        <f>I16*Jahresdaten!$F$37*J16</f>
        <v>1525.1999999999998</v>
      </c>
      <c r="L16" s="104">
        <v>60</v>
      </c>
      <c r="M16" s="103">
        <f t="shared" si="1"/>
        <v>915.11999999999989</v>
      </c>
    </row>
    <row r="17" spans="1:13">
      <c r="A17" s="254"/>
      <c r="B17" s="72"/>
      <c r="C17" s="100">
        <f>IF(A17&gt;1,Jahresdaten!$E$23,0)</f>
        <v>0</v>
      </c>
      <c r="D17" s="105"/>
      <c r="E17" s="105"/>
      <c r="F17" s="105"/>
      <c r="G17" s="105"/>
      <c r="H17" s="101"/>
      <c r="I17" s="102">
        <f t="shared" si="0"/>
        <v>0</v>
      </c>
      <c r="J17" s="220"/>
      <c r="K17" s="103">
        <f>I17*Jahresdaten!$F$37*J17</f>
        <v>0</v>
      </c>
      <c r="L17" s="104"/>
      <c r="M17" s="103">
        <f t="shared" si="1"/>
        <v>0</v>
      </c>
    </row>
    <row r="18" spans="1:13">
      <c r="A18" s="254"/>
      <c r="B18" s="72"/>
      <c r="C18" s="100">
        <f>IF(A18&gt;1,Jahresdaten!$E$23,0)</f>
        <v>0</v>
      </c>
      <c r="D18" s="105"/>
      <c r="E18" s="105"/>
      <c r="F18" s="105"/>
      <c r="G18" s="105"/>
      <c r="H18" s="101"/>
      <c r="I18" s="102">
        <f t="shared" si="0"/>
        <v>0</v>
      </c>
      <c r="J18" s="220"/>
      <c r="K18" s="103">
        <f>I18*Jahresdaten!$F$37*J18</f>
        <v>0</v>
      </c>
      <c r="L18" s="104"/>
      <c r="M18" s="103">
        <f t="shared" si="1"/>
        <v>0</v>
      </c>
    </row>
    <row r="19" spans="1:13">
      <c r="A19" s="254"/>
      <c r="B19" s="72"/>
      <c r="C19" s="100">
        <f>IF(A19&gt;1,Jahresdaten!$E$23,0)</f>
        <v>0</v>
      </c>
      <c r="D19" s="105"/>
      <c r="E19" s="105"/>
      <c r="F19" s="105"/>
      <c r="G19" s="105"/>
      <c r="H19" s="101"/>
      <c r="I19" s="102">
        <f t="shared" si="0"/>
        <v>0</v>
      </c>
      <c r="J19" s="220"/>
      <c r="K19" s="103">
        <f>I19*Jahresdaten!$F$37*J19</f>
        <v>0</v>
      </c>
      <c r="L19" s="104"/>
      <c r="M19" s="103">
        <f t="shared" si="1"/>
        <v>0</v>
      </c>
    </row>
    <row r="20" spans="1:13">
      <c r="A20" s="254"/>
      <c r="B20" s="72"/>
      <c r="C20" s="100">
        <f>IF(A20&gt;1,Jahresdaten!$E$23,0)</f>
        <v>0</v>
      </c>
      <c r="D20" s="105"/>
      <c r="E20" s="105"/>
      <c r="F20" s="105"/>
      <c r="G20" s="105"/>
      <c r="H20" s="101"/>
      <c r="I20" s="102">
        <f t="shared" si="0"/>
        <v>0</v>
      </c>
      <c r="J20" s="220"/>
      <c r="K20" s="103">
        <f>I20*Jahresdaten!$F$37*J20</f>
        <v>0</v>
      </c>
      <c r="L20" s="104"/>
      <c r="M20" s="103">
        <f t="shared" si="1"/>
        <v>0</v>
      </c>
    </row>
    <row r="21" spans="1:13">
      <c r="A21" s="254"/>
      <c r="B21" s="72"/>
      <c r="C21" s="100">
        <f>IF(A21&gt;1,Jahresdaten!$E$23,0)</f>
        <v>0</v>
      </c>
      <c r="D21" s="105"/>
      <c r="E21" s="105"/>
      <c r="F21" s="105"/>
      <c r="G21" s="105"/>
      <c r="H21" s="101"/>
      <c r="I21" s="102">
        <f t="shared" si="0"/>
        <v>0</v>
      </c>
      <c r="J21" s="220"/>
      <c r="K21" s="103">
        <f>I21*Jahresdaten!$F$37*J21</f>
        <v>0</v>
      </c>
      <c r="L21" s="104"/>
      <c r="M21" s="103">
        <f t="shared" si="1"/>
        <v>0</v>
      </c>
    </row>
    <row r="22" spans="1:13">
      <c r="A22" s="254"/>
      <c r="B22" s="72"/>
      <c r="C22" s="100">
        <f>IF(A22&gt;1,Jahresdaten!$E$23,0)</f>
        <v>0</v>
      </c>
      <c r="D22" s="105"/>
      <c r="E22" s="105"/>
      <c r="F22" s="105"/>
      <c r="G22" s="105"/>
      <c r="H22" s="101"/>
      <c r="I22" s="102">
        <f t="shared" si="0"/>
        <v>0</v>
      </c>
      <c r="J22" s="220"/>
      <c r="K22" s="103">
        <f>I22*Jahresdaten!$F$37*J22</f>
        <v>0</v>
      </c>
      <c r="L22" s="104"/>
      <c r="M22" s="103">
        <f t="shared" si="1"/>
        <v>0</v>
      </c>
    </row>
    <row r="23" spans="1:13" ht="13.5" thickBot="1">
      <c r="A23" s="254"/>
      <c r="B23" s="72"/>
      <c r="C23" s="100">
        <f>IF(A23&gt;1,Jahresdaten!$E$23,0)</f>
        <v>0</v>
      </c>
      <c r="D23" s="105"/>
      <c r="E23" s="105"/>
      <c r="F23" s="105"/>
      <c r="G23" s="105"/>
      <c r="H23" s="101"/>
      <c r="I23" s="102">
        <f t="shared" si="0"/>
        <v>0</v>
      </c>
      <c r="J23" s="220"/>
      <c r="K23" s="103">
        <f>I23*Jahresdaten!$F$37*J23</f>
        <v>0</v>
      </c>
      <c r="L23" s="104"/>
      <c r="M23" s="103">
        <f t="shared" si="1"/>
        <v>0</v>
      </c>
    </row>
    <row r="24" spans="1:13" ht="20.100000000000001" customHeight="1" thickTop="1" thickBot="1">
      <c r="A24" s="77" t="s">
        <v>19</v>
      </c>
      <c r="B24" s="106"/>
      <c r="C24" s="107">
        <f t="shared" ref="C24:H24" si="2">SUM(C9:C23)</f>
        <v>2048</v>
      </c>
      <c r="D24" s="107">
        <f t="shared" si="2"/>
        <v>175</v>
      </c>
      <c r="E24" s="107">
        <f t="shared" si="2"/>
        <v>113</v>
      </c>
      <c r="F24" s="107">
        <f t="shared" si="2"/>
        <v>15</v>
      </c>
      <c r="G24" s="107">
        <f t="shared" si="2"/>
        <v>24</v>
      </c>
      <c r="H24" s="107">
        <f t="shared" si="2"/>
        <v>25</v>
      </c>
      <c r="I24" s="107">
        <f>C24-(SUM(D24:G24))</f>
        <v>1721</v>
      </c>
      <c r="J24" s="107"/>
      <c r="K24" s="108">
        <f>SUM(K9:K23)</f>
        <v>10043.36</v>
      </c>
      <c r="L24" s="109">
        <f>AVERAGE(L9:L23)</f>
        <v>60</v>
      </c>
      <c r="M24" s="110">
        <f>SUM(M9:M23)</f>
        <v>6156.7239999999993</v>
      </c>
    </row>
    <row r="25" spans="1:13" ht="13.5" thickTop="1"/>
    <row r="26" spans="1:13">
      <c r="A26" s="85" t="s">
        <v>25</v>
      </c>
      <c r="B26" s="84" t="s">
        <v>26</v>
      </c>
      <c r="C26" s="84" t="s">
        <v>35</v>
      </c>
      <c r="F26" s="347" t="s">
        <v>260</v>
      </c>
      <c r="G26" s="347"/>
      <c r="H26" s="347"/>
      <c r="I26" s="347"/>
      <c r="J26" s="347"/>
      <c r="K26" s="252">
        <f>100/K24*M24</f>
        <v>61.301436969301101</v>
      </c>
    </row>
    <row r="27" spans="1:13">
      <c r="A27" s="67" t="s">
        <v>110</v>
      </c>
      <c r="B27" s="68" t="s">
        <v>82</v>
      </c>
      <c r="C27" s="68"/>
    </row>
    <row r="28" spans="1:13">
      <c r="A28" s="67" t="s">
        <v>111</v>
      </c>
      <c r="B28" s="68" t="s">
        <v>113</v>
      </c>
      <c r="C28" s="68"/>
    </row>
    <row r="29" spans="1:13">
      <c r="A29" s="67" t="s">
        <v>112</v>
      </c>
      <c r="B29" s="68" t="s">
        <v>114</v>
      </c>
      <c r="C29" s="68"/>
      <c r="E29" s="51" t="s">
        <v>73</v>
      </c>
    </row>
    <row r="30" spans="1:13">
      <c r="A30" s="67" t="s">
        <v>115</v>
      </c>
      <c r="B30" s="68" t="s">
        <v>120</v>
      </c>
      <c r="C30" s="68"/>
    </row>
    <row r="31" spans="1:13">
      <c r="A31" s="85" t="s">
        <v>116</v>
      </c>
      <c r="B31" s="84" t="s">
        <v>119</v>
      </c>
      <c r="C31" s="84"/>
    </row>
    <row r="32" spans="1:13">
      <c r="A32" s="85" t="s">
        <v>117</v>
      </c>
      <c r="B32" s="84" t="s">
        <v>118</v>
      </c>
      <c r="C32" s="84"/>
    </row>
    <row r="33" spans="1:5">
      <c r="A33" s="85" t="s">
        <v>27</v>
      </c>
      <c r="B33" s="84" t="s">
        <v>67</v>
      </c>
      <c r="C33" s="111">
        <v>10</v>
      </c>
    </row>
    <row r="34" spans="1:5">
      <c r="A34" s="85" t="s">
        <v>28</v>
      </c>
      <c r="B34" s="84" t="s">
        <v>68</v>
      </c>
      <c r="C34" s="111">
        <v>25</v>
      </c>
    </row>
    <row r="35" spans="1:5">
      <c r="A35" s="85" t="s">
        <v>29</v>
      </c>
      <c r="B35" s="84" t="s">
        <v>69</v>
      </c>
      <c r="C35" s="111">
        <v>50</v>
      </c>
      <c r="E35" s="51" t="s">
        <v>121</v>
      </c>
    </row>
    <row r="36" spans="1:5">
      <c r="A36" s="85" t="s">
        <v>30</v>
      </c>
      <c r="B36" s="84" t="s">
        <v>70</v>
      </c>
      <c r="C36" s="111">
        <v>70</v>
      </c>
    </row>
    <row r="37" spans="1:5" ht="9.75" customHeight="1"/>
    <row r="38" spans="1:5" ht="20.100000000000001" customHeight="1"/>
    <row r="39" spans="1:5" ht="20.100000000000001" customHeight="1"/>
    <row r="40" spans="1:5" ht="20.100000000000001" customHeight="1"/>
    <row r="41" spans="1:5" ht="20.100000000000001" customHeight="1"/>
    <row r="42" spans="1:5" ht="20.100000000000001" customHeight="1"/>
  </sheetData>
  <mergeCells count="3">
    <mergeCell ref="A1:M1"/>
    <mergeCell ref="J6:J8"/>
    <mergeCell ref="F26:J26"/>
  </mergeCells>
  <phoneticPr fontId="0" type="noConversion"/>
  <pageMargins left="0.53" right="0.16" top="0.76" bottom="0.7" header="0.4921259845" footer="0.4921259845"/>
  <pageSetup paperSize="9" scale="96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topLeftCell="A9" workbookViewId="0">
      <selection activeCell="G19" sqref="G19"/>
    </sheetView>
  </sheetViews>
  <sheetFormatPr baseColWidth="10" defaultColWidth="11.42578125" defaultRowHeight="12.75"/>
  <cols>
    <col min="1" max="1" width="20.7109375" style="51" customWidth="1"/>
    <col min="2" max="2" width="9.85546875" style="51" customWidth="1"/>
    <col min="3" max="3" width="10.42578125" style="51" customWidth="1"/>
    <col min="4" max="4" width="13.140625" style="51" customWidth="1"/>
    <col min="5" max="5" width="10.7109375" style="51" bestFit="1" customWidth="1"/>
    <col min="6" max="6" width="11.42578125" style="51"/>
    <col min="7" max="7" width="8.42578125" style="51" bestFit="1" customWidth="1"/>
    <col min="8" max="8" width="15.5703125" style="51" bestFit="1" customWidth="1"/>
    <col min="9" max="9" width="9.42578125" style="51" customWidth="1"/>
    <col min="10" max="11" width="15.42578125" style="51" customWidth="1"/>
    <col min="12" max="16384" width="11.42578125" style="51"/>
  </cols>
  <sheetData>
    <row r="1" spans="1:11" ht="27">
      <c r="A1" s="348" t="s">
        <v>239</v>
      </c>
      <c r="B1" s="349"/>
      <c r="C1" s="349"/>
      <c r="D1" s="349"/>
      <c r="E1" s="349"/>
      <c r="F1" s="349"/>
      <c r="G1" s="349"/>
      <c r="H1" s="349"/>
      <c r="I1" s="349"/>
      <c r="J1" s="350"/>
    </row>
    <row r="3" spans="1:11">
      <c r="A3" s="52" t="s">
        <v>36</v>
      </c>
      <c r="B3" s="53">
        <f>IF(Jahresdaten!C3&gt;2002,Jahresdaten!C3,"Angaben 'Jahresdaten' fehlen")</f>
        <v>2021</v>
      </c>
      <c r="C3" s="54"/>
      <c r="E3" s="54"/>
      <c r="F3" s="54"/>
      <c r="G3" s="55"/>
    </row>
    <row r="4" spans="1:11">
      <c r="A4" s="51" t="s">
        <v>4</v>
      </c>
    </row>
    <row r="5" spans="1:11">
      <c r="C5" s="56" t="s">
        <v>37</v>
      </c>
      <c r="D5" s="56" t="s">
        <v>38</v>
      </c>
      <c r="E5" s="56" t="s">
        <v>39</v>
      </c>
      <c r="F5" s="56" t="s">
        <v>40</v>
      </c>
      <c r="G5" s="56" t="s">
        <v>41</v>
      </c>
      <c r="H5" s="57" t="s">
        <v>42</v>
      </c>
      <c r="I5" s="58"/>
      <c r="J5" s="56"/>
    </row>
    <row r="6" spans="1:11">
      <c r="A6" s="59" t="s">
        <v>11</v>
      </c>
      <c r="B6" s="60" t="s">
        <v>12</v>
      </c>
      <c r="C6" s="60" t="s">
        <v>43</v>
      </c>
      <c r="D6" s="60" t="s">
        <v>86</v>
      </c>
      <c r="E6" s="60" t="s">
        <v>88</v>
      </c>
      <c r="F6" s="60" t="s">
        <v>89</v>
      </c>
      <c r="G6" s="60" t="s">
        <v>84</v>
      </c>
      <c r="H6" s="61" t="s">
        <v>44</v>
      </c>
      <c r="I6" s="60" t="s">
        <v>45</v>
      </c>
      <c r="J6" s="62" t="s">
        <v>44</v>
      </c>
    </row>
    <row r="7" spans="1:11">
      <c r="A7" s="63" t="s">
        <v>16</v>
      </c>
      <c r="B7" s="64"/>
      <c r="C7" s="64"/>
      <c r="D7" s="64" t="s">
        <v>87</v>
      </c>
      <c r="E7" s="64"/>
      <c r="F7" s="64" t="s">
        <v>91</v>
      </c>
      <c r="G7" s="64" t="s">
        <v>85</v>
      </c>
      <c r="H7" s="65" t="s">
        <v>46</v>
      </c>
      <c r="I7" s="64" t="s">
        <v>47</v>
      </c>
      <c r="J7" s="66" t="s">
        <v>47</v>
      </c>
    </row>
    <row r="8" spans="1:11">
      <c r="A8" s="67"/>
      <c r="B8" s="68"/>
      <c r="C8" s="68" t="s">
        <v>17</v>
      </c>
      <c r="D8" s="68" t="s">
        <v>17</v>
      </c>
      <c r="E8" s="68" t="s">
        <v>17</v>
      </c>
      <c r="F8" s="68" t="s">
        <v>17</v>
      </c>
      <c r="G8" s="68" t="s">
        <v>17</v>
      </c>
      <c r="H8" s="69"/>
      <c r="I8" s="68" t="s">
        <v>48</v>
      </c>
      <c r="J8" s="70" t="s">
        <v>90</v>
      </c>
    </row>
    <row r="9" spans="1:11">
      <c r="A9" s="71" t="str">
        <f>'Stundenleistung-Werkstatt'!A9</f>
        <v>Gerd Mechanikus</v>
      </c>
      <c r="B9" s="72" t="str">
        <f>'Stundenleistung-Werkstatt'!B9</f>
        <v>WE</v>
      </c>
      <c r="C9" s="73">
        <v>72000</v>
      </c>
      <c r="D9" s="73">
        <v>6000</v>
      </c>
      <c r="E9" s="73">
        <v>3000</v>
      </c>
      <c r="F9" s="73">
        <v>3600</v>
      </c>
      <c r="G9" s="73">
        <v>11000</v>
      </c>
      <c r="H9" s="74">
        <f>SUM(C9:G9)</f>
        <v>95600</v>
      </c>
      <c r="I9" s="217">
        <f>'Stundenleistung-Werkstatt'!$J$9</f>
        <v>0.5</v>
      </c>
      <c r="J9" s="76">
        <f>H9*I9</f>
        <v>47800</v>
      </c>
    </row>
    <row r="10" spans="1:11">
      <c r="A10" s="71" t="str">
        <f>'Stundenleistung-Werkstatt'!A10</f>
        <v>Fritz Schrauber</v>
      </c>
      <c r="B10" s="72" t="str">
        <f>'Stundenleistung-Werkstatt'!B10</f>
        <v>ME</v>
      </c>
      <c r="C10" s="73">
        <v>60000</v>
      </c>
      <c r="D10" s="73">
        <v>5000</v>
      </c>
      <c r="E10" s="73">
        <v>2500</v>
      </c>
      <c r="F10" s="73">
        <v>0</v>
      </c>
      <c r="G10" s="73">
        <v>8775</v>
      </c>
      <c r="H10" s="74">
        <f t="shared" ref="H10:H23" si="0">SUM(C10:G10)</f>
        <v>76275</v>
      </c>
      <c r="I10" s="217">
        <f>'Stundenleistung-Werkstatt'!J10</f>
        <v>0.8</v>
      </c>
      <c r="J10" s="76">
        <f t="shared" ref="J10:J23" si="1">H10*I10</f>
        <v>61020</v>
      </c>
    </row>
    <row r="11" spans="1:11">
      <c r="A11" s="71" t="str">
        <f>'Stundenleistung-Werkstatt'!A11</f>
        <v>Hans Kurzer</v>
      </c>
      <c r="B11" s="72" t="str">
        <f>'Stundenleistung-Werkstatt'!B11</f>
        <v>EL</v>
      </c>
      <c r="C11" s="73">
        <v>57600</v>
      </c>
      <c r="D11" s="73">
        <v>4800</v>
      </c>
      <c r="E11" s="73">
        <v>2000</v>
      </c>
      <c r="F11" s="73">
        <v>0</v>
      </c>
      <c r="G11" s="73">
        <v>8372</v>
      </c>
      <c r="H11" s="74">
        <f t="shared" si="0"/>
        <v>72772</v>
      </c>
      <c r="I11" s="217">
        <f>'Stundenleistung-Werkstatt'!J11</f>
        <v>0.8</v>
      </c>
      <c r="J11" s="76">
        <f t="shared" si="1"/>
        <v>58217.600000000006</v>
      </c>
    </row>
    <row r="12" spans="1:11">
      <c r="A12" s="71" t="str">
        <f>'Stundenleistung-Werkstatt'!A12</f>
        <v>Walter Wechsler</v>
      </c>
      <c r="B12" s="72" t="str">
        <f>'Stundenleistung-Werkstatt'!B12</f>
        <v>MO</v>
      </c>
      <c r="C12" s="73">
        <v>54000</v>
      </c>
      <c r="D12" s="73">
        <v>4500</v>
      </c>
      <c r="E12" s="73">
        <v>2000</v>
      </c>
      <c r="F12" s="73">
        <v>0</v>
      </c>
      <c r="G12" s="73">
        <v>7865</v>
      </c>
      <c r="H12" s="74">
        <f t="shared" si="0"/>
        <v>68365</v>
      </c>
      <c r="I12" s="217">
        <f>'Stundenleistung-Werkstatt'!J12</f>
        <v>0.8</v>
      </c>
      <c r="J12" s="76">
        <f t="shared" si="1"/>
        <v>54692</v>
      </c>
    </row>
    <row r="13" spans="1:11">
      <c r="A13" s="71" t="str">
        <f>'Stundenleistung-Werkstatt'!A13</f>
        <v>Peter Blitzblank</v>
      </c>
      <c r="B13" s="72" t="str">
        <f>'Stundenleistung-Werkstatt'!B13</f>
        <v>HK</v>
      </c>
      <c r="C13" s="73">
        <v>49200</v>
      </c>
      <c r="D13" s="73">
        <v>4100</v>
      </c>
      <c r="E13" s="73">
        <v>1000</v>
      </c>
      <c r="F13" s="73">
        <v>0</v>
      </c>
      <c r="G13" s="73">
        <v>7059</v>
      </c>
      <c r="H13" s="74">
        <f t="shared" si="0"/>
        <v>61359</v>
      </c>
      <c r="I13" s="217">
        <f>'Stundenleistung-Werkstatt'!J13</f>
        <v>0.5</v>
      </c>
      <c r="J13" s="76">
        <f t="shared" si="1"/>
        <v>30679.5</v>
      </c>
    </row>
    <row r="14" spans="1:11">
      <c r="A14" s="71" t="str">
        <f>'Stundenleistung-Werkstatt'!A14</f>
        <v>Richard Tester</v>
      </c>
      <c r="B14" s="72" t="str">
        <f>'Stundenleistung-Werkstatt'!B14</f>
        <v>DI</v>
      </c>
      <c r="C14" s="73">
        <v>49200</v>
      </c>
      <c r="D14" s="73">
        <v>4100</v>
      </c>
      <c r="E14" s="73">
        <v>1000</v>
      </c>
      <c r="F14" s="73">
        <v>0</v>
      </c>
      <c r="G14" s="73">
        <v>7059</v>
      </c>
      <c r="H14" s="74">
        <f t="shared" si="0"/>
        <v>61359</v>
      </c>
      <c r="I14" s="217">
        <f>'Stundenleistung-Werkstatt'!J14</f>
        <v>0.5</v>
      </c>
      <c r="J14" s="76">
        <f t="shared" si="1"/>
        <v>30679.5</v>
      </c>
    </row>
    <row r="15" spans="1:11">
      <c r="A15" s="71" t="str">
        <f>'Stundenleistung-Werkstatt'!A15</f>
        <v>Julius Besen</v>
      </c>
      <c r="B15" s="72" t="str">
        <f>'Stundenleistung-Werkstatt'!B15</f>
        <v>LE3</v>
      </c>
      <c r="C15" s="73">
        <v>10800</v>
      </c>
      <c r="D15" s="73">
        <v>900</v>
      </c>
      <c r="E15" s="73">
        <v>400</v>
      </c>
      <c r="F15" s="73">
        <v>0</v>
      </c>
      <c r="G15" s="73">
        <v>1573</v>
      </c>
      <c r="H15" s="74">
        <f t="shared" si="0"/>
        <v>13673</v>
      </c>
      <c r="I15" s="217">
        <f>'Stundenleistung-Werkstatt'!J15</f>
        <v>1</v>
      </c>
      <c r="J15" s="76">
        <f t="shared" si="1"/>
        <v>13673</v>
      </c>
    </row>
    <row r="16" spans="1:11">
      <c r="A16" s="71" t="str">
        <f>'Stundenleistung-Werkstatt'!A16</f>
        <v>René Hammer</v>
      </c>
      <c r="B16" s="72" t="str">
        <f>'Stundenleistung-Werkstatt'!B16</f>
        <v>LE4</v>
      </c>
      <c r="C16" s="131">
        <v>12500</v>
      </c>
      <c r="D16" s="131">
        <v>1000</v>
      </c>
      <c r="E16" s="131">
        <v>450</v>
      </c>
      <c r="F16" s="131">
        <v>0</v>
      </c>
      <c r="G16" s="131">
        <v>1652</v>
      </c>
      <c r="H16" s="251">
        <f t="shared" si="0"/>
        <v>15602</v>
      </c>
      <c r="I16" s="217">
        <v>1</v>
      </c>
      <c r="J16" s="76">
        <f t="shared" si="1"/>
        <v>15602</v>
      </c>
      <c r="K16" s="253">
        <f>SUM(J9:J16)</f>
        <v>312363.59999999998</v>
      </c>
    </row>
    <row r="17" spans="1:10">
      <c r="A17" s="71" t="s">
        <v>210</v>
      </c>
      <c r="B17" s="72" t="s">
        <v>49</v>
      </c>
      <c r="C17" s="73">
        <v>50400</v>
      </c>
      <c r="D17" s="73">
        <v>4200</v>
      </c>
      <c r="E17" s="73">
        <v>1500</v>
      </c>
      <c r="F17" s="73">
        <v>0</v>
      </c>
      <c r="G17" s="73">
        <v>7293</v>
      </c>
      <c r="H17" s="74">
        <f>SUM(C17:G17)</f>
        <v>63393</v>
      </c>
      <c r="I17" s="75">
        <v>0.5</v>
      </c>
      <c r="J17" s="76">
        <f>H17*I17</f>
        <v>31696.5</v>
      </c>
    </row>
    <row r="18" spans="1:10">
      <c r="A18" s="71" t="s">
        <v>209</v>
      </c>
      <c r="B18" s="72" t="s">
        <v>168</v>
      </c>
      <c r="C18" s="73">
        <v>175000</v>
      </c>
      <c r="D18" s="73"/>
      <c r="E18" s="73"/>
      <c r="F18" s="73">
        <v>3600</v>
      </c>
      <c r="G18" s="73">
        <v>30000</v>
      </c>
      <c r="H18" s="74">
        <f>SUM(C18:G18)</f>
        <v>208600</v>
      </c>
      <c r="I18" s="75">
        <v>0.5</v>
      </c>
      <c r="J18" s="76">
        <f>H18*I18</f>
        <v>104300</v>
      </c>
    </row>
    <row r="19" spans="1:10">
      <c r="A19" s="71"/>
      <c r="B19" s="72"/>
      <c r="C19" s="73"/>
      <c r="D19" s="73"/>
      <c r="E19" s="73"/>
      <c r="F19" s="73"/>
      <c r="G19" s="73"/>
      <c r="H19" s="74">
        <f t="shared" si="0"/>
        <v>0</v>
      </c>
      <c r="I19" s="75"/>
      <c r="J19" s="76">
        <f t="shared" si="1"/>
        <v>0</v>
      </c>
    </row>
    <row r="20" spans="1:10">
      <c r="A20" s="71"/>
      <c r="B20" s="72"/>
      <c r="C20" s="73"/>
      <c r="D20" s="73"/>
      <c r="E20" s="73"/>
      <c r="F20" s="73"/>
      <c r="G20" s="73"/>
      <c r="H20" s="74">
        <f t="shared" si="0"/>
        <v>0</v>
      </c>
      <c r="I20" s="75"/>
      <c r="J20" s="76">
        <f t="shared" si="1"/>
        <v>0</v>
      </c>
    </row>
    <row r="21" spans="1:10">
      <c r="A21" s="71"/>
      <c r="B21" s="72"/>
      <c r="C21" s="73"/>
      <c r="D21" s="73"/>
      <c r="E21" s="73"/>
      <c r="F21" s="73"/>
      <c r="G21" s="73"/>
      <c r="H21" s="74">
        <f t="shared" si="0"/>
        <v>0</v>
      </c>
      <c r="I21" s="75"/>
      <c r="J21" s="76">
        <f t="shared" si="1"/>
        <v>0</v>
      </c>
    </row>
    <row r="22" spans="1:10">
      <c r="A22" s="71"/>
      <c r="B22" s="72"/>
      <c r="C22" s="73"/>
      <c r="D22" s="73"/>
      <c r="E22" s="73"/>
      <c r="F22" s="73"/>
      <c r="G22" s="73"/>
      <c r="H22" s="74">
        <f t="shared" si="0"/>
        <v>0</v>
      </c>
      <c r="I22" s="75"/>
      <c r="J22" s="76">
        <f t="shared" si="1"/>
        <v>0</v>
      </c>
    </row>
    <row r="23" spans="1:10" ht="13.5" thickBot="1">
      <c r="A23" s="71"/>
      <c r="B23" s="72"/>
      <c r="C23" s="73"/>
      <c r="D23" s="73"/>
      <c r="E23" s="73"/>
      <c r="F23" s="73"/>
      <c r="G23" s="73"/>
      <c r="H23" s="74">
        <f t="shared" si="0"/>
        <v>0</v>
      </c>
      <c r="I23" s="75"/>
      <c r="J23" s="76">
        <f t="shared" si="1"/>
        <v>0</v>
      </c>
    </row>
    <row r="24" spans="1:10" ht="15.95" customHeight="1" thickTop="1" thickBot="1">
      <c r="A24" s="77" t="s">
        <v>19</v>
      </c>
      <c r="B24" s="49"/>
      <c r="C24" s="78">
        <f t="shared" ref="C24:H24" si="2">SUM(C9:C23)</f>
        <v>590700</v>
      </c>
      <c r="D24" s="78">
        <f t="shared" si="2"/>
        <v>34600</v>
      </c>
      <c r="E24" s="78">
        <f t="shared" si="2"/>
        <v>13850</v>
      </c>
      <c r="F24" s="78">
        <f t="shared" si="2"/>
        <v>7200</v>
      </c>
      <c r="G24" s="78">
        <f t="shared" si="2"/>
        <v>90648</v>
      </c>
      <c r="H24" s="78">
        <f t="shared" si="2"/>
        <v>736998</v>
      </c>
      <c r="I24" s="45"/>
      <c r="J24" s="78">
        <f>SUM(J9:J23)</f>
        <v>448360.1</v>
      </c>
    </row>
    <row r="25" spans="1:10" ht="13.5" thickTop="1"/>
    <row r="26" spans="1:10">
      <c r="A26" s="79" t="s">
        <v>25</v>
      </c>
      <c r="B26" s="80" t="s">
        <v>26</v>
      </c>
      <c r="D26" s="81" t="s">
        <v>25</v>
      </c>
      <c r="E26" s="82"/>
      <c r="F26" s="80" t="s">
        <v>26</v>
      </c>
    </row>
    <row r="27" spans="1:10">
      <c r="A27" s="67" t="s">
        <v>110</v>
      </c>
      <c r="B27" s="68" t="s">
        <v>82</v>
      </c>
      <c r="D27" s="83" t="s">
        <v>27</v>
      </c>
      <c r="E27" s="82"/>
      <c r="F27" s="84" t="s">
        <v>31</v>
      </c>
    </row>
    <row r="28" spans="1:10">
      <c r="A28" s="67" t="s">
        <v>111</v>
      </c>
      <c r="B28" s="68" t="s">
        <v>113</v>
      </c>
      <c r="D28" s="83" t="s">
        <v>28</v>
      </c>
      <c r="E28" s="82"/>
      <c r="F28" s="84" t="s">
        <v>32</v>
      </c>
    </row>
    <row r="29" spans="1:10">
      <c r="A29" s="67" t="s">
        <v>112</v>
      </c>
      <c r="B29" s="68" t="s">
        <v>114</v>
      </c>
      <c r="D29" s="83" t="s">
        <v>29</v>
      </c>
      <c r="E29" s="82"/>
      <c r="F29" s="84" t="s">
        <v>33</v>
      </c>
    </row>
    <row r="30" spans="1:10">
      <c r="A30" s="67" t="s">
        <v>115</v>
      </c>
      <c r="B30" s="68" t="s">
        <v>120</v>
      </c>
      <c r="D30" s="83" t="s">
        <v>30</v>
      </c>
      <c r="E30" s="82"/>
      <c r="F30" s="84" t="s">
        <v>34</v>
      </c>
    </row>
    <row r="31" spans="1:10">
      <c r="A31" s="85" t="s">
        <v>116</v>
      </c>
      <c r="B31" s="84" t="s">
        <v>119</v>
      </c>
      <c r="D31" s="83" t="s">
        <v>80</v>
      </c>
      <c r="E31" s="82"/>
      <c r="F31" s="84" t="s">
        <v>81</v>
      </c>
    </row>
    <row r="32" spans="1:10">
      <c r="A32" s="85" t="s">
        <v>117</v>
      </c>
      <c r="B32" s="84" t="s">
        <v>118</v>
      </c>
      <c r="D32" s="83" t="s">
        <v>83</v>
      </c>
      <c r="E32" s="82"/>
      <c r="F32" s="84" t="s">
        <v>49</v>
      </c>
    </row>
  </sheetData>
  <mergeCells count="1">
    <mergeCell ref="A1:J1"/>
  </mergeCells>
  <phoneticPr fontId="0" type="noConversion"/>
  <pageMargins left="0.78740157499999996" right="0.16" top="0.76" bottom="0.7" header="0.4921259845" footer="0.4921259845"/>
  <pageSetup paperSize="9" scale="9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3"/>
  <sheetViews>
    <sheetView topLeftCell="A85" zoomScaleNormal="100" workbookViewId="0">
      <selection activeCell="C3" sqref="C3"/>
    </sheetView>
  </sheetViews>
  <sheetFormatPr baseColWidth="10" defaultColWidth="11.42578125" defaultRowHeight="12.75"/>
  <cols>
    <col min="1" max="1" width="35.140625" style="33" customWidth="1"/>
    <col min="2" max="2" width="14" style="32" bestFit="1" customWidth="1"/>
    <col min="3" max="3" width="14.85546875" style="32" bestFit="1" customWidth="1"/>
    <col min="4" max="4" width="11.85546875" style="32" bestFit="1" customWidth="1"/>
    <col min="5" max="5" width="8.85546875" style="33" bestFit="1" customWidth="1"/>
    <col min="6" max="6" width="11.85546875" style="32" bestFit="1" customWidth="1"/>
    <col min="7" max="7" width="9.7109375" style="33" customWidth="1"/>
    <col min="8" max="8" width="20.7109375" style="33" customWidth="1"/>
    <col min="9" max="16384" width="11.42578125" style="33"/>
  </cols>
  <sheetData>
    <row r="1" spans="1:6" s="30" customFormat="1" ht="27">
      <c r="A1" s="351" t="s">
        <v>242</v>
      </c>
      <c r="B1" s="351"/>
      <c r="C1" s="351"/>
      <c r="D1" s="351"/>
      <c r="E1" s="351"/>
      <c r="F1" s="351"/>
    </row>
    <row r="2" spans="1:6">
      <c r="A2" s="31"/>
    </row>
    <row r="3" spans="1:6">
      <c r="A3" s="31" t="s">
        <v>0</v>
      </c>
      <c r="B3" s="294">
        <f>C3-1</f>
        <v>2019</v>
      </c>
      <c r="C3" s="294">
        <f>D3-1</f>
        <v>2020</v>
      </c>
      <c r="D3" s="294">
        <f>Jahresdaten!C3</f>
        <v>2021</v>
      </c>
    </row>
    <row r="5" spans="1:6">
      <c r="A5" s="34"/>
      <c r="B5" s="35" t="s">
        <v>50</v>
      </c>
      <c r="C5" s="35" t="s">
        <v>50</v>
      </c>
      <c r="D5" s="35" t="s">
        <v>51</v>
      </c>
      <c r="E5" s="34" t="s">
        <v>45</v>
      </c>
      <c r="F5" s="35" t="s">
        <v>51</v>
      </c>
    </row>
    <row r="6" spans="1:6">
      <c r="A6" s="36" t="s">
        <v>52</v>
      </c>
      <c r="B6" s="37" t="s">
        <v>53</v>
      </c>
      <c r="C6" s="37" t="s">
        <v>78</v>
      </c>
      <c r="D6" s="37" t="s">
        <v>98</v>
      </c>
      <c r="E6" s="36" t="s">
        <v>82</v>
      </c>
      <c r="F6" s="37" t="s">
        <v>97</v>
      </c>
    </row>
    <row r="7" spans="1:6">
      <c r="A7" s="38" t="s">
        <v>122</v>
      </c>
      <c r="B7" s="39"/>
      <c r="C7" s="39"/>
      <c r="D7" s="39"/>
      <c r="E7" s="40"/>
      <c r="F7" s="39"/>
    </row>
    <row r="8" spans="1:6" ht="15" customHeight="1">
      <c r="A8" s="223" t="s">
        <v>57</v>
      </c>
      <c r="B8" s="41">
        <v>18000</v>
      </c>
      <c r="C8" s="41"/>
      <c r="D8" s="41">
        <v>9000</v>
      </c>
      <c r="E8" s="42">
        <v>1</v>
      </c>
      <c r="F8" s="43">
        <f>D8*E8</f>
        <v>9000</v>
      </c>
    </row>
    <row r="9" spans="1:6" ht="15" customHeight="1">
      <c r="A9" s="224" t="s">
        <v>123</v>
      </c>
      <c r="B9" s="131">
        <v>4500</v>
      </c>
      <c r="C9" s="131"/>
      <c r="D9" s="131">
        <v>2000</v>
      </c>
      <c r="E9" s="42">
        <v>1</v>
      </c>
      <c r="F9" s="43">
        <f>D9*E9</f>
        <v>2000</v>
      </c>
    </row>
    <row r="10" spans="1:6" ht="15" customHeight="1">
      <c r="A10" s="225"/>
      <c r="B10" s="221"/>
      <c r="C10" s="131"/>
      <c r="D10" s="131"/>
      <c r="E10" s="222"/>
      <c r="F10" s="43">
        <f>D10*E10</f>
        <v>0</v>
      </c>
    </row>
    <row r="11" spans="1:6" ht="15" customHeight="1" thickBot="1">
      <c r="B11" s="221"/>
      <c r="C11" s="131"/>
      <c r="D11" s="131"/>
      <c r="E11" s="221"/>
      <c r="F11" s="43">
        <f>D11*E11</f>
        <v>0</v>
      </c>
    </row>
    <row r="12" spans="1:6" ht="15" customHeight="1" thickTop="1" thickBot="1">
      <c r="A12" s="44" t="s">
        <v>124</v>
      </c>
      <c r="B12" s="45">
        <f>SUM(B7:B11)</f>
        <v>22500</v>
      </c>
      <c r="C12" s="45"/>
      <c r="D12" s="45">
        <f>SUM(D7:D11)</f>
        <v>11000</v>
      </c>
      <c r="E12" s="46"/>
      <c r="F12" s="45">
        <f>SUM(F7:F11)</f>
        <v>11000</v>
      </c>
    </row>
    <row r="13" spans="1:6" ht="13.5" thickTop="1">
      <c r="A13" s="38" t="s">
        <v>77</v>
      </c>
      <c r="B13" s="39"/>
      <c r="C13" s="39"/>
      <c r="D13" s="39"/>
      <c r="E13" s="40"/>
      <c r="F13" s="39"/>
    </row>
    <row r="14" spans="1:6" ht="15" customHeight="1">
      <c r="A14" s="223" t="s">
        <v>55</v>
      </c>
      <c r="B14" s="41">
        <v>87000</v>
      </c>
      <c r="C14" s="41"/>
      <c r="D14" s="41">
        <v>87000</v>
      </c>
      <c r="E14" s="42">
        <v>0.4</v>
      </c>
      <c r="F14" s="43">
        <f>D14*E14</f>
        <v>34800</v>
      </c>
    </row>
    <row r="15" spans="1:6" ht="15" customHeight="1">
      <c r="A15" s="224" t="s">
        <v>198</v>
      </c>
      <c r="B15" s="131">
        <v>25000</v>
      </c>
      <c r="C15" s="131"/>
      <c r="D15" s="131">
        <v>25000</v>
      </c>
      <c r="E15" s="42">
        <v>0.5</v>
      </c>
      <c r="F15" s="47">
        <f t="shared" ref="F15:F20" si="0">D15*E15</f>
        <v>12500</v>
      </c>
    </row>
    <row r="16" spans="1:6" ht="15" customHeight="1">
      <c r="A16" s="224" t="s">
        <v>214</v>
      </c>
      <c r="B16" s="131">
        <v>8000</v>
      </c>
      <c r="C16" s="131"/>
      <c r="D16" s="131">
        <v>8000</v>
      </c>
      <c r="E16" s="42">
        <v>0.5</v>
      </c>
      <c r="F16" s="47">
        <f t="shared" si="0"/>
        <v>4000</v>
      </c>
    </row>
    <row r="17" spans="1:6" ht="15" customHeight="1">
      <c r="A17" s="224" t="s">
        <v>215</v>
      </c>
      <c r="B17" s="131"/>
      <c r="C17" s="131"/>
      <c r="D17" s="131"/>
      <c r="E17" s="132"/>
      <c r="F17" s="47">
        <f t="shared" si="0"/>
        <v>0</v>
      </c>
    </row>
    <row r="18" spans="1:6" ht="15" customHeight="1">
      <c r="A18" s="224" t="s">
        <v>216</v>
      </c>
      <c r="B18" s="131">
        <v>2000</v>
      </c>
      <c r="C18" s="131"/>
      <c r="D18" s="131">
        <v>2000</v>
      </c>
      <c r="E18" s="42">
        <v>0.9</v>
      </c>
      <c r="F18" s="47">
        <f t="shared" si="0"/>
        <v>1800</v>
      </c>
    </row>
    <row r="19" spans="1:6" ht="15" customHeight="1">
      <c r="A19" s="224"/>
      <c r="B19" s="131"/>
      <c r="C19" s="131"/>
      <c r="D19" s="131"/>
      <c r="E19" s="132"/>
      <c r="F19" s="47">
        <f t="shared" si="0"/>
        <v>0</v>
      </c>
    </row>
    <row r="20" spans="1:6" ht="15" customHeight="1">
      <c r="A20" s="224"/>
      <c r="B20" s="131"/>
      <c r="C20" s="131"/>
      <c r="D20" s="131"/>
      <c r="E20" s="132"/>
      <c r="F20" s="47">
        <f t="shared" si="0"/>
        <v>0</v>
      </c>
    </row>
    <row r="21" spans="1:6" ht="15" customHeight="1" thickBot="1">
      <c r="A21" s="149" t="s">
        <v>56</v>
      </c>
      <c r="B21" s="150">
        <f>SUM(B14:B20)</f>
        <v>122000</v>
      </c>
      <c r="C21" s="150"/>
      <c r="D21" s="150">
        <f>SUM(D14:D20)</f>
        <v>122000</v>
      </c>
      <c r="E21" s="151"/>
      <c r="F21" s="150">
        <f>SUM(F14:F20)</f>
        <v>53100</v>
      </c>
    </row>
    <row r="22" spans="1:6" ht="15" customHeight="1" thickTop="1">
      <c r="A22" s="139"/>
      <c r="B22" s="47"/>
      <c r="C22" s="47"/>
      <c r="D22" s="47"/>
      <c r="E22" s="48"/>
      <c r="F22" s="47"/>
    </row>
    <row r="23" spans="1:6" ht="28.5" customHeight="1">
      <c r="A23" s="152" t="s">
        <v>136</v>
      </c>
      <c r="B23" s="153"/>
      <c r="C23" s="153"/>
      <c r="D23" s="153"/>
      <c r="E23" s="154"/>
      <c r="F23" s="155"/>
    </row>
    <row r="24" spans="1:6" ht="15" customHeight="1">
      <c r="A24" s="51" t="s">
        <v>137</v>
      </c>
      <c r="B24" s="41">
        <v>8000</v>
      </c>
      <c r="C24" s="41"/>
      <c r="D24" s="41">
        <v>8000</v>
      </c>
      <c r="E24" s="42">
        <v>1</v>
      </c>
      <c r="F24" s="43">
        <f t="shared" ref="F24:F80" si="1">D24*E24</f>
        <v>8000</v>
      </c>
    </row>
    <row r="25" spans="1:6" ht="15" customHeight="1">
      <c r="A25" s="51" t="s">
        <v>125</v>
      </c>
      <c r="B25" s="41">
        <v>4500</v>
      </c>
      <c r="C25" s="41"/>
      <c r="D25" s="41">
        <v>4500</v>
      </c>
      <c r="E25" s="42">
        <v>1</v>
      </c>
      <c r="F25" s="43">
        <f t="shared" si="1"/>
        <v>4500</v>
      </c>
    </row>
    <row r="26" spans="1:6" ht="15" customHeight="1">
      <c r="A26" s="51" t="s">
        <v>126</v>
      </c>
      <c r="B26" s="41">
        <v>10000</v>
      </c>
      <c r="C26" s="41"/>
      <c r="D26" s="41">
        <v>5000</v>
      </c>
      <c r="E26" s="42">
        <v>0.8</v>
      </c>
      <c r="F26" s="43">
        <f t="shared" si="1"/>
        <v>4000</v>
      </c>
    </row>
    <row r="27" spans="1:6" ht="15" customHeight="1">
      <c r="A27" s="51" t="s">
        <v>127</v>
      </c>
      <c r="B27" s="131">
        <v>2500</v>
      </c>
      <c r="C27" s="131"/>
      <c r="D27" s="131">
        <v>2500</v>
      </c>
      <c r="E27" s="42">
        <v>1</v>
      </c>
      <c r="F27" s="47">
        <f t="shared" si="1"/>
        <v>2500</v>
      </c>
    </row>
    <row r="28" spans="1:6" ht="15" customHeight="1">
      <c r="A28" s="51" t="s">
        <v>196</v>
      </c>
      <c r="B28" s="131">
        <v>12000</v>
      </c>
      <c r="C28" s="131"/>
      <c r="D28" s="131">
        <v>5000</v>
      </c>
      <c r="E28" s="42">
        <v>0.8</v>
      </c>
      <c r="F28" s="47">
        <f t="shared" si="1"/>
        <v>4000</v>
      </c>
    </row>
    <row r="29" spans="1:6" ht="15" customHeight="1">
      <c r="A29" s="51" t="s">
        <v>195</v>
      </c>
      <c r="B29" s="131">
        <v>20000</v>
      </c>
      <c r="C29" s="131"/>
      <c r="D29" s="131">
        <v>10000</v>
      </c>
      <c r="E29" s="42">
        <v>0.8</v>
      </c>
      <c r="F29" s="47">
        <f t="shared" si="1"/>
        <v>8000</v>
      </c>
    </row>
    <row r="30" spans="1:6" ht="15" customHeight="1" thickBot="1">
      <c r="A30" s="147" t="s">
        <v>164</v>
      </c>
      <c r="B30" s="148">
        <f>SUM(B24:B29)</f>
        <v>57000</v>
      </c>
      <c r="C30" s="148"/>
      <c r="D30" s="148">
        <f>SUM(D24:D29)</f>
        <v>35000</v>
      </c>
      <c r="E30" s="149"/>
      <c r="F30" s="148">
        <f>SUM(F24:F29)</f>
        <v>31000</v>
      </c>
    </row>
    <row r="31" spans="1:6" ht="15" customHeight="1" thickTop="1">
      <c r="A31" s="51"/>
      <c r="B31" s="159"/>
      <c r="C31" s="159"/>
      <c r="D31" s="159"/>
      <c r="E31" s="160"/>
      <c r="F31" s="50"/>
    </row>
    <row r="32" spans="1:6" ht="15" customHeight="1">
      <c r="A32" s="133" t="s">
        <v>128</v>
      </c>
      <c r="B32" s="159"/>
      <c r="C32" s="159"/>
      <c r="D32" s="159"/>
      <c r="E32" s="160"/>
    </row>
    <row r="33" spans="1:6" ht="15" customHeight="1">
      <c r="A33" s="51" t="s">
        <v>217</v>
      </c>
      <c r="B33" s="41">
        <v>7500</v>
      </c>
      <c r="C33" s="41"/>
      <c r="D33" s="41">
        <v>7500</v>
      </c>
      <c r="E33" s="42">
        <v>1</v>
      </c>
      <c r="F33" s="43">
        <f t="shared" si="1"/>
        <v>7500</v>
      </c>
    </row>
    <row r="34" spans="1:6" ht="15" customHeight="1">
      <c r="A34" s="226" t="s">
        <v>218</v>
      </c>
      <c r="B34" s="41">
        <v>7000</v>
      </c>
      <c r="C34" s="41"/>
      <c r="D34" s="41">
        <v>5000</v>
      </c>
      <c r="E34" s="42">
        <v>0</v>
      </c>
      <c r="F34" s="43">
        <f t="shared" si="1"/>
        <v>0</v>
      </c>
    </row>
    <row r="35" spans="1:6">
      <c r="A35" s="51" t="s">
        <v>129</v>
      </c>
      <c r="B35" s="41">
        <v>9600</v>
      </c>
      <c r="C35" s="41"/>
      <c r="D35" s="41">
        <v>4000</v>
      </c>
      <c r="E35" s="42">
        <v>0.5</v>
      </c>
      <c r="F35" s="227">
        <f t="shared" si="1"/>
        <v>2000</v>
      </c>
    </row>
    <row r="36" spans="1:6" ht="15" customHeight="1">
      <c r="A36" s="51" t="s">
        <v>130</v>
      </c>
      <c r="B36" s="131">
        <v>2500</v>
      </c>
      <c r="C36" s="131"/>
      <c r="D36" s="131">
        <v>2500</v>
      </c>
      <c r="E36" s="42">
        <v>0.5</v>
      </c>
      <c r="F36" s="47">
        <f t="shared" si="1"/>
        <v>1250</v>
      </c>
    </row>
    <row r="37" spans="1:6" ht="15" customHeight="1">
      <c r="A37" s="51"/>
      <c r="B37" s="131"/>
      <c r="C37" s="131"/>
      <c r="D37" s="131"/>
      <c r="E37" s="132"/>
      <c r="F37" s="47">
        <f t="shared" si="1"/>
        <v>0</v>
      </c>
    </row>
    <row r="38" spans="1:6" ht="15" customHeight="1">
      <c r="A38" s="51"/>
      <c r="B38" s="131"/>
      <c r="C38" s="131"/>
      <c r="D38" s="131"/>
      <c r="E38" s="132"/>
      <c r="F38" s="47">
        <f t="shared" si="1"/>
        <v>0</v>
      </c>
    </row>
    <row r="39" spans="1:6" ht="15" customHeight="1" thickBot="1">
      <c r="A39" s="147" t="s">
        <v>163</v>
      </c>
      <c r="B39" s="148">
        <f>SUM(B33:B38)</f>
        <v>26600</v>
      </c>
      <c r="C39" s="148"/>
      <c r="D39" s="148">
        <f>SUM(D33:D38)</f>
        <v>19000</v>
      </c>
      <c r="E39" s="149"/>
      <c r="F39" s="148">
        <f>SUM(F33:F38)</f>
        <v>10750</v>
      </c>
    </row>
    <row r="40" spans="1:6" ht="15" customHeight="1" thickTop="1">
      <c r="A40" s="51"/>
      <c r="B40" s="159"/>
      <c r="C40" s="159"/>
      <c r="D40" s="159"/>
      <c r="E40" s="160"/>
      <c r="F40" s="43"/>
    </row>
    <row r="41" spans="1:6" ht="15" customHeight="1">
      <c r="A41" s="133" t="s">
        <v>131</v>
      </c>
      <c r="B41" s="159"/>
      <c r="C41" s="159"/>
      <c r="D41" s="159"/>
      <c r="E41" s="160"/>
      <c r="F41" s="43"/>
    </row>
    <row r="42" spans="1:6" ht="15" customHeight="1">
      <c r="A42" s="51" t="s">
        <v>131</v>
      </c>
      <c r="B42" s="41">
        <v>7000</v>
      </c>
      <c r="C42" s="41"/>
      <c r="D42" s="41">
        <v>2000</v>
      </c>
      <c r="E42" s="42">
        <v>0.9</v>
      </c>
      <c r="F42" s="43">
        <f t="shared" si="1"/>
        <v>1800</v>
      </c>
    </row>
    <row r="43" spans="1:6" ht="15" customHeight="1">
      <c r="A43" s="51" t="s">
        <v>132</v>
      </c>
      <c r="B43" s="131">
        <v>5000</v>
      </c>
      <c r="C43" s="131"/>
      <c r="D43" s="131">
        <v>3500</v>
      </c>
      <c r="E43" s="42">
        <v>1</v>
      </c>
      <c r="F43" s="47">
        <f t="shared" si="1"/>
        <v>3500</v>
      </c>
    </row>
    <row r="44" spans="1:6" ht="15" customHeight="1">
      <c r="A44" s="51"/>
      <c r="B44" s="131"/>
      <c r="C44" s="131"/>
      <c r="D44" s="131"/>
      <c r="E44" s="132"/>
      <c r="F44" s="47">
        <f t="shared" si="1"/>
        <v>0</v>
      </c>
    </row>
    <row r="45" spans="1:6" ht="15" customHeight="1">
      <c r="A45" s="51"/>
      <c r="B45" s="131"/>
      <c r="C45" s="131"/>
      <c r="D45" s="131"/>
      <c r="E45" s="132"/>
      <c r="F45" s="47">
        <f t="shared" si="1"/>
        <v>0</v>
      </c>
    </row>
    <row r="46" spans="1:6" ht="15" customHeight="1" thickBot="1">
      <c r="A46" s="147" t="s">
        <v>162</v>
      </c>
      <c r="B46" s="148">
        <f>SUM(B42:B45)</f>
        <v>12000</v>
      </c>
      <c r="C46" s="148"/>
      <c r="D46" s="148">
        <f>SUM(D42:D45)</f>
        <v>5500</v>
      </c>
      <c r="E46" s="149"/>
      <c r="F46" s="148">
        <f>SUM(F42:F45)</f>
        <v>5300</v>
      </c>
    </row>
    <row r="47" spans="1:6" ht="15" customHeight="1" thickTop="1">
      <c r="A47" s="51"/>
      <c r="B47" s="159"/>
      <c r="C47" s="159"/>
      <c r="D47" s="159"/>
      <c r="E47" s="160"/>
      <c r="F47" s="43"/>
    </row>
    <row r="48" spans="1:6" ht="15" customHeight="1">
      <c r="A48" s="133" t="s">
        <v>133</v>
      </c>
      <c r="B48" s="159"/>
      <c r="C48" s="159"/>
      <c r="D48" s="159"/>
      <c r="E48" s="160"/>
      <c r="F48" s="43"/>
    </row>
    <row r="49" spans="1:6" ht="15" customHeight="1">
      <c r="A49" s="51" t="s">
        <v>134</v>
      </c>
      <c r="B49" s="41">
        <v>7500</v>
      </c>
      <c r="C49" s="41"/>
      <c r="D49" s="41">
        <v>3000</v>
      </c>
      <c r="E49" s="42">
        <v>1</v>
      </c>
      <c r="F49" s="43">
        <f t="shared" si="1"/>
        <v>3000</v>
      </c>
    </row>
    <row r="50" spans="1:6" ht="15" customHeight="1">
      <c r="A50" s="226" t="s">
        <v>219</v>
      </c>
      <c r="B50" s="41">
        <v>15000</v>
      </c>
      <c r="C50" s="41"/>
      <c r="D50" s="41">
        <v>6000</v>
      </c>
      <c r="E50" s="42">
        <v>0.6</v>
      </c>
      <c r="F50" s="43">
        <f t="shared" si="1"/>
        <v>3600</v>
      </c>
    </row>
    <row r="51" spans="1:6" ht="15" customHeight="1">
      <c r="A51" s="51" t="s">
        <v>135</v>
      </c>
      <c r="B51" s="41">
        <v>2000</v>
      </c>
      <c r="C51" s="41"/>
      <c r="D51" s="41">
        <v>2000</v>
      </c>
      <c r="E51" s="42">
        <v>0.8</v>
      </c>
      <c r="F51" s="43">
        <f t="shared" si="1"/>
        <v>1600</v>
      </c>
    </row>
    <row r="52" spans="1:6" ht="15" customHeight="1">
      <c r="A52" s="51" t="s">
        <v>220</v>
      </c>
      <c r="B52" s="41">
        <v>2500</v>
      </c>
      <c r="C52" s="41"/>
      <c r="D52" s="41">
        <v>2500</v>
      </c>
      <c r="E52" s="42">
        <v>1</v>
      </c>
      <c r="F52" s="43">
        <f t="shared" si="1"/>
        <v>2500</v>
      </c>
    </row>
    <row r="53" spans="1:6" ht="15" customHeight="1">
      <c r="A53" s="51" t="s">
        <v>133</v>
      </c>
      <c r="B53" s="131"/>
      <c r="C53" s="131"/>
      <c r="D53" s="131"/>
      <c r="E53" s="132"/>
      <c r="F53" s="47">
        <f t="shared" si="1"/>
        <v>0</v>
      </c>
    </row>
    <row r="54" spans="1:6" ht="15" customHeight="1">
      <c r="A54" s="51"/>
      <c r="B54" s="131"/>
      <c r="C54" s="131"/>
      <c r="D54" s="131"/>
      <c r="E54" s="132"/>
      <c r="F54" s="47">
        <f t="shared" si="1"/>
        <v>0</v>
      </c>
    </row>
    <row r="55" spans="1:6" ht="15" customHeight="1">
      <c r="A55" s="51"/>
      <c r="B55" s="131"/>
      <c r="C55" s="131"/>
      <c r="D55" s="131"/>
      <c r="E55" s="132"/>
      <c r="F55" s="47">
        <f t="shared" si="1"/>
        <v>0</v>
      </c>
    </row>
    <row r="56" spans="1:6" ht="15" customHeight="1">
      <c r="A56" s="79" t="s">
        <v>161</v>
      </c>
      <c r="B56" s="146">
        <f>SUM(B49:B55)</f>
        <v>27000</v>
      </c>
      <c r="C56" s="146"/>
      <c r="D56" s="146">
        <f>SUM(D49:D55)</f>
        <v>13500</v>
      </c>
      <c r="E56" s="44"/>
      <c r="F56" s="146">
        <f>SUM(F49:F55)</f>
        <v>10700</v>
      </c>
    </row>
    <row r="57" spans="1:6" s="6" customFormat="1" ht="15.95" customHeight="1" thickBot="1">
      <c r="A57" s="143" t="s">
        <v>3</v>
      </c>
      <c r="B57" s="144">
        <f>B12+B21+B30+B39+B46+B56</f>
        <v>267100</v>
      </c>
      <c r="C57" s="144">
        <f>C56+C7+C2</f>
        <v>0</v>
      </c>
      <c r="D57" s="144">
        <f>D12+D21+D30+D39+D46+D56</f>
        <v>206000</v>
      </c>
      <c r="E57" s="145"/>
      <c r="F57" s="144">
        <f>F12+F21+F30+F39+F46+F56</f>
        <v>121850</v>
      </c>
    </row>
    <row r="58" spans="1:6" s="6" customFormat="1" ht="15.95" customHeight="1" thickTop="1">
      <c r="A58" s="140"/>
      <c r="B58" s="25"/>
      <c r="C58" s="25"/>
      <c r="D58" s="25"/>
      <c r="E58" s="142"/>
      <c r="F58" s="25"/>
    </row>
    <row r="59" spans="1:6" s="6" customFormat="1" ht="15.95" customHeight="1">
      <c r="A59" s="140"/>
      <c r="B59" s="25"/>
      <c r="C59" s="25"/>
      <c r="D59" s="25"/>
      <c r="E59" s="142"/>
      <c r="F59" s="25"/>
    </row>
    <row r="60" spans="1:6" s="6" customFormat="1" ht="15.95" customHeight="1">
      <c r="A60" s="140"/>
      <c r="B60" s="25"/>
      <c r="C60" s="25"/>
      <c r="D60" s="25"/>
      <c r="E60" s="142"/>
      <c r="F60" s="25"/>
    </row>
    <row r="61" spans="1:6" s="6" customFormat="1" ht="15.95" customHeight="1">
      <c r="A61" s="140"/>
      <c r="B61" s="25"/>
      <c r="C61" s="25"/>
      <c r="D61" s="25"/>
      <c r="E61" s="142"/>
      <c r="F61" s="25"/>
    </row>
    <row r="62" spans="1:6" s="6" customFormat="1" ht="15.95" customHeight="1">
      <c r="A62" s="140"/>
      <c r="B62" s="25"/>
      <c r="C62" s="25"/>
      <c r="D62" s="25"/>
      <c r="E62" s="142"/>
      <c r="F62" s="25"/>
    </row>
    <row r="63" spans="1:6" s="6" customFormat="1" ht="15.95" customHeight="1">
      <c r="A63" s="140"/>
      <c r="B63" s="25"/>
      <c r="C63" s="25"/>
      <c r="D63" s="25"/>
      <c r="E63" s="142"/>
      <c r="F63" s="25"/>
    </row>
    <row r="64" spans="1:6" s="6" customFormat="1" ht="15.95" customHeight="1">
      <c r="A64" s="140"/>
      <c r="B64" s="25"/>
      <c r="C64" s="25"/>
      <c r="D64" s="25"/>
      <c r="E64" s="142"/>
      <c r="F64" s="25"/>
    </row>
    <row r="65" spans="1:6" s="6" customFormat="1" ht="15.95" customHeight="1">
      <c r="A65" s="12" t="s">
        <v>54</v>
      </c>
      <c r="B65" s="26"/>
      <c r="C65" s="26"/>
      <c r="D65" s="26"/>
      <c r="E65" s="11"/>
      <c r="F65" s="28"/>
    </row>
    <row r="66" spans="1:6" s="6" customFormat="1" ht="15.95" customHeight="1">
      <c r="A66" s="13"/>
      <c r="B66" s="19" t="s">
        <v>50</v>
      </c>
      <c r="C66" s="19" t="s">
        <v>50</v>
      </c>
      <c r="D66" s="19" t="s">
        <v>51</v>
      </c>
      <c r="E66" s="13" t="s">
        <v>45</v>
      </c>
      <c r="F66" s="19" t="s">
        <v>51</v>
      </c>
    </row>
    <row r="67" spans="1:6" s="6" customFormat="1" ht="15.95" customHeight="1">
      <c r="A67" s="14" t="s">
        <v>52</v>
      </c>
      <c r="B67" s="20" t="s">
        <v>53</v>
      </c>
      <c r="C67" s="20" t="s">
        <v>78</v>
      </c>
      <c r="D67" s="20" t="s">
        <v>98</v>
      </c>
      <c r="E67" s="14" t="s">
        <v>82</v>
      </c>
      <c r="F67" s="20" t="s">
        <v>97</v>
      </c>
    </row>
    <row r="68" spans="1:6" s="6" customFormat="1" ht="15.95" customHeight="1">
      <c r="A68" s="156" t="str">
        <f t="shared" ref="A68:F68" si="2">A57</f>
        <v>Zwischensumme</v>
      </c>
      <c r="B68" s="21">
        <f t="shared" si="2"/>
        <v>267100</v>
      </c>
      <c r="C68" s="21">
        <f t="shared" si="2"/>
        <v>0</v>
      </c>
      <c r="D68" s="21">
        <f t="shared" si="2"/>
        <v>206000</v>
      </c>
      <c r="E68" s="15"/>
      <c r="F68" s="21">
        <f t="shared" si="2"/>
        <v>121850</v>
      </c>
    </row>
    <row r="69" spans="1:6" s="6" customFormat="1" ht="15.95" customHeight="1">
      <c r="A69" s="140"/>
      <c r="B69" s="23"/>
      <c r="C69" s="23"/>
      <c r="D69" s="23"/>
      <c r="E69" s="141"/>
      <c r="F69" s="23"/>
    </row>
    <row r="70" spans="1:6" ht="15" customHeight="1">
      <c r="A70" s="133" t="s">
        <v>138</v>
      </c>
      <c r="B70" s="23"/>
      <c r="C70" s="23"/>
      <c r="D70" s="23"/>
      <c r="E70" s="141"/>
      <c r="F70" s="23"/>
    </row>
    <row r="71" spans="1:6" ht="15" customHeight="1">
      <c r="A71" s="51" t="s">
        <v>139</v>
      </c>
      <c r="B71" s="41">
        <v>12000</v>
      </c>
      <c r="C71" s="41"/>
      <c r="D71" s="41">
        <v>12000</v>
      </c>
      <c r="E71" s="42">
        <v>1</v>
      </c>
      <c r="F71" s="43">
        <f t="shared" si="1"/>
        <v>12000</v>
      </c>
    </row>
    <row r="72" spans="1:6" ht="15" customHeight="1">
      <c r="A72" s="51" t="s">
        <v>140</v>
      </c>
      <c r="B72" s="41">
        <v>800</v>
      </c>
      <c r="C72" s="41"/>
      <c r="D72" s="41">
        <v>800</v>
      </c>
      <c r="E72" s="42">
        <v>1</v>
      </c>
      <c r="F72" s="43">
        <f t="shared" si="1"/>
        <v>800</v>
      </c>
    </row>
    <row r="73" spans="1:6" ht="15" customHeight="1">
      <c r="A73" s="51" t="s">
        <v>141</v>
      </c>
      <c r="B73" s="41">
        <v>3500</v>
      </c>
      <c r="C73" s="41"/>
      <c r="D73" s="41">
        <v>3500</v>
      </c>
      <c r="E73" s="42">
        <v>1</v>
      </c>
      <c r="F73" s="43">
        <f t="shared" si="1"/>
        <v>3500</v>
      </c>
    </row>
    <row r="74" spans="1:6" ht="15" customHeight="1">
      <c r="A74" s="51" t="s">
        <v>142</v>
      </c>
      <c r="B74" s="41">
        <v>7500</v>
      </c>
      <c r="C74" s="41"/>
      <c r="D74" s="41">
        <v>7500</v>
      </c>
      <c r="E74" s="42">
        <v>1</v>
      </c>
      <c r="F74" s="43">
        <f t="shared" si="1"/>
        <v>7500</v>
      </c>
    </row>
    <row r="75" spans="1:6" ht="15" customHeight="1">
      <c r="A75" s="51" t="s">
        <v>143</v>
      </c>
      <c r="B75" s="41">
        <v>300</v>
      </c>
      <c r="C75" s="41"/>
      <c r="D75" s="41">
        <v>300</v>
      </c>
      <c r="E75" s="42">
        <v>1</v>
      </c>
      <c r="F75" s="43">
        <f t="shared" si="1"/>
        <v>300</v>
      </c>
    </row>
    <row r="76" spans="1:6" ht="15" customHeight="1">
      <c r="A76" s="51" t="s">
        <v>144</v>
      </c>
      <c r="B76" s="41">
        <v>5000</v>
      </c>
      <c r="C76" s="41"/>
      <c r="D76" s="41">
        <v>5000</v>
      </c>
      <c r="E76" s="42">
        <v>1</v>
      </c>
      <c r="F76" s="43">
        <f t="shared" si="1"/>
        <v>5000</v>
      </c>
    </row>
    <row r="77" spans="1:6" ht="15" customHeight="1">
      <c r="A77" s="51" t="s">
        <v>145</v>
      </c>
      <c r="B77" s="41">
        <v>2000</v>
      </c>
      <c r="C77" s="41"/>
      <c r="D77" s="41">
        <v>2000</v>
      </c>
      <c r="E77" s="42">
        <v>1</v>
      </c>
      <c r="F77" s="43">
        <f t="shared" si="1"/>
        <v>2000</v>
      </c>
    </row>
    <row r="78" spans="1:6" ht="15" customHeight="1">
      <c r="A78" s="51" t="s">
        <v>146</v>
      </c>
      <c r="B78" s="41">
        <v>500</v>
      </c>
      <c r="C78" s="41"/>
      <c r="D78" s="41">
        <v>500</v>
      </c>
      <c r="E78" s="42">
        <v>1</v>
      </c>
      <c r="F78" s="43">
        <f t="shared" si="1"/>
        <v>500</v>
      </c>
    </row>
    <row r="79" spans="1:6" ht="15" customHeight="1">
      <c r="A79" s="51" t="s">
        <v>147</v>
      </c>
      <c r="B79" s="41">
        <v>800</v>
      </c>
      <c r="C79" s="41"/>
      <c r="D79" s="41">
        <v>800</v>
      </c>
      <c r="E79" s="42">
        <v>1</v>
      </c>
      <c r="F79" s="43">
        <f t="shared" si="1"/>
        <v>800</v>
      </c>
    </row>
    <row r="80" spans="1:6" ht="15" customHeight="1">
      <c r="A80" s="51" t="s">
        <v>148</v>
      </c>
      <c r="B80" s="41">
        <v>500</v>
      </c>
      <c r="C80" s="41"/>
      <c r="D80" s="41">
        <v>500</v>
      </c>
      <c r="E80" s="42">
        <v>1</v>
      </c>
      <c r="F80" s="43">
        <f t="shared" si="1"/>
        <v>500</v>
      </c>
    </row>
    <row r="81" spans="1:6" ht="15" customHeight="1">
      <c r="A81" s="51" t="s">
        <v>149</v>
      </c>
      <c r="B81" s="41">
        <v>2000</v>
      </c>
      <c r="C81" s="41"/>
      <c r="D81" s="41">
        <v>2000</v>
      </c>
      <c r="E81" s="42">
        <v>1</v>
      </c>
      <c r="F81" s="43">
        <f>D81*E81</f>
        <v>2000</v>
      </c>
    </row>
    <row r="82" spans="1:6" ht="15.95" customHeight="1" thickBot="1">
      <c r="A82" s="51" t="s">
        <v>150</v>
      </c>
      <c r="B82" s="41">
        <v>3000</v>
      </c>
      <c r="C82" s="41"/>
      <c r="D82" s="41">
        <v>3000</v>
      </c>
      <c r="E82" s="42">
        <v>1</v>
      </c>
      <c r="F82" s="43">
        <f>D82*E82</f>
        <v>3000</v>
      </c>
    </row>
    <row r="83" spans="1:6" ht="15.95" customHeight="1" thickTop="1" thickBot="1">
      <c r="A83" s="134" t="s">
        <v>160</v>
      </c>
      <c r="B83" s="135">
        <f>SUM(B71:B82)</f>
        <v>37900</v>
      </c>
      <c r="C83" s="135"/>
      <c r="D83" s="135">
        <f>SUM(D71:D82)</f>
        <v>37900</v>
      </c>
      <c r="E83" s="136"/>
      <c r="F83" s="135">
        <f>SUM(F71:F82)</f>
        <v>37900</v>
      </c>
    </row>
    <row r="84" spans="1:6" ht="15.95" customHeight="1" thickTop="1">
      <c r="A84" s="51"/>
      <c r="B84" s="51"/>
      <c r="C84" s="51"/>
      <c r="D84" s="51"/>
      <c r="E84" s="51"/>
      <c r="F84" s="51"/>
    </row>
    <row r="85" spans="1:6" ht="15.95" customHeight="1">
      <c r="A85" s="133" t="s">
        <v>157</v>
      </c>
      <c r="B85" s="116"/>
      <c r="C85" s="116"/>
      <c r="D85" s="116"/>
      <c r="E85" s="116"/>
      <c r="F85" s="116"/>
    </row>
    <row r="86" spans="1:6" ht="15.95" customHeight="1">
      <c r="A86" s="51" t="s">
        <v>240</v>
      </c>
      <c r="B86" s="41">
        <v>2500</v>
      </c>
      <c r="C86" s="41"/>
      <c r="D86" s="41">
        <v>2500</v>
      </c>
      <c r="E86" s="42">
        <v>1</v>
      </c>
      <c r="F86" s="43">
        <f t="shared" ref="F86:F95" si="3">D86*E86</f>
        <v>2500</v>
      </c>
    </row>
    <row r="87" spans="1:6" ht="15.95" customHeight="1">
      <c r="A87" s="51" t="s">
        <v>241</v>
      </c>
      <c r="B87" s="41">
        <v>2500</v>
      </c>
      <c r="C87" s="41"/>
      <c r="D87" s="41">
        <v>2500</v>
      </c>
      <c r="E87" s="42">
        <v>1</v>
      </c>
      <c r="F87" s="43">
        <f t="shared" si="3"/>
        <v>2500</v>
      </c>
    </row>
    <row r="88" spans="1:6" ht="13.5" thickBot="1">
      <c r="A88" s="51" t="s">
        <v>151</v>
      </c>
      <c r="B88" s="41">
        <v>2500</v>
      </c>
      <c r="C88" s="41"/>
      <c r="D88" s="41">
        <v>2500</v>
      </c>
      <c r="E88" s="42">
        <v>1</v>
      </c>
      <c r="F88" s="43">
        <f t="shared" si="3"/>
        <v>2500</v>
      </c>
    </row>
    <row r="89" spans="1:6" ht="14.25" thickTop="1" thickBot="1">
      <c r="A89" s="134" t="s">
        <v>159</v>
      </c>
      <c r="B89" s="135">
        <f>SUM(B86:B88)</f>
        <v>7500</v>
      </c>
      <c r="C89" s="135"/>
      <c r="D89" s="135">
        <f>SUM(D86:D88)</f>
        <v>7500</v>
      </c>
      <c r="E89" s="136"/>
      <c r="F89" s="135">
        <f>SUM(F86:F88)</f>
        <v>7500</v>
      </c>
    </row>
    <row r="90" spans="1:6" ht="13.5" thickTop="1">
      <c r="A90" s="137"/>
      <c r="B90" s="138"/>
      <c r="C90" s="138"/>
      <c r="D90" s="138"/>
      <c r="E90" s="139"/>
      <c r="F90" s="138"/>
    </row>
    <row r="91" spans="1:6">
      <c r="A91" s="133" t="s">
        <v>152</v>
      </c>
      <c r="B91" s="138"/>
      <c r="C91" s="138"/>
      <c r="D91" s="138"/>
      <c r="E91" s="139"/>
      <c r="F91" s="138"/>
    </row>
    <row r="92" spans="1:6">
      <c r="A92" s="51" t="s">
        <v>153</v>
      </c>
      <c r="B92" s="41">
        <v>7000</v>
      </c>
      <c r="C92" s="41"/>
      <c r="D92" s="41">
        <v>7000</v>
      </c>
      <c r="E92" s="42">
        <v>1</v>
      </c>
      <c r="F92" s="43">
        <f t="shared" si="3"/>
        <v>7000</v>
      </c>
    </row>
    <row r="93" spans="1:6" ht="15" customHeight="1">
      <c r="A93" s="51" t="s">
        <v>154</v>
      </c>
      <c r="B93" s="41">
        <v>3000</v>
      </c>
      <c r="C93" s="41"/>
      <c r="D93" s="41">
        <v>3000</v>
      </c>
      <c r="E93" s="42">
        <v>1</v>
      </c>
      <c r="F93" s="43">
        <f t="shared" si="3"/>
        <v>3000</v>
      </c>
    </row>
    <row r="94" spans="1:6" ht="15" customHeight="1">
      <c r="A94" s="51" t="s">
        <v>155</v>
      </c>
      <c r="B94" s="41">
        <v>2000</v>
      </c>
      <c r="C94" s="41"/>
      <c r="D94" s="41">
        <v>2000</v>
      </c>
      <c r="E94" s="42">
        <v>1</v>
      </c>
      <c r="F94" s="43">
        <f t="shared" si="3"/>
        <v>2000</v>
      </c>
    </row>
    <row r="95" spans="1:6" ht="15" customHeight="1" thickBot="1">
      <c r="A95" s="51" t="s">
        <v>156</v>
      </c>
      <c r="B95" s="131">
        <v>1000</v>
      </c>
      <c r="C95" s="131"/>
      <c r="D95" s="131">
        <v>1000</v>
      </c>
      <c r="E95" s="42">
        <v>1</v>
      </c>
      <c r="F95" s="47">
        <f t="shared" si="3"/>
        <v>1000</v>
      </c>
    </row>
    <row r="96" spans="1:6" ht="15" customHeight="1" thickTop="1" thickBot="1">
      <c r="A96" s="134" t="s">
        <v>158</v>
      </c>
      <c r="B96" s="135">
        <f>SUM(B92:B95)</f>
        <v>13000</v>
      </c>
      <c r="C96" s="135"/>
      <c r="D96" s="135">
        <f>SUM(D92:D95)</f>
        <v>13000</v>
      </c>
      <c r="E96" s="136"/>
      <c r="F96" s="135">
        <f>SUM(F92:F95)</f>
        <v>13000</v>
      </c>
    </row>
    <row r="97" spans="1:6" ht="15" customHeight="1" thickTop="1">
      <c r="A97" s="16" t="s">
        <v>79</v>
      </c>
      <c r="B97" s="24"/>
      <c r="C97" s="24"/>
      <c r="D97" s="24"/>
      <c r="E97" s="10"/>
      <c r="F97" s="27" t="str">
        <f>IF(D97="","",D97*E97)</f>
        <v/>
      </c>
    </row>
    <row r="98" spans="1:6">
      <c r="A98" s="17" t="s">
        <v>206</v>
      </c>
      <c r="B98" s="22"/>
      <c r="C98" s="22"/>
      <c r="D98" s="22"/>
      <c r="E98" s="8"/>
      <c r="F98" s="27" t="str">
        <f>IF(D98="","",D98*E98)</f>
        <v/>
      </c>
    </row>
    <row r="99" spans="1:6" ht="13.5" thickBot="1">
      <c r="A99" s="17"/>
      <c r="B99" s="22"/>
      <c r="C99" s="22"/>
      <c r="D99" s="22"/>
      <c r="E99" s="8"/>
      <c r="F99" s="27" t="str">
        <f>IF(D99="","",D99*E99)</f>
        <v/>
      </c>
    </row>
    <row r="100" spans="1:6" ht="14.25" thickTop="1" thickBot="1">
      <c r="A100" s="16" t="s">
        <v>79</v>
      </c>
      <c r="B100" s="7">
        <f>SUM(B97:B99)</f>
        <v>0</v>
      </c>
      <c r="C100" s="7">
        <f>SUM(C97:C99)</f>
        <v>0</v>
      </c>
      <c r="D100" s="7">
        <f>SUM(D97:D99)</f>
        <v>0</v>
      </c>
      <c r="E100" s="9"/>
      <c r="F100" s="7">
        <f>SUM(F97:F99)</f>
        <v>0</v>
      </c>
    </row>
    <row r="101" spans="1:6" ht="14.25" thickTop="1" thickBot="1">
      <c r="A101" s="18"/>
      <c r="B101" s="24"/>
      <c r="C101" s="24"/>
      <c r="D101" s="24"/>
      <c r="E101" s="10"/>
      <c r="F101" s="27" t="str">
        <f>IF(D101="","",D101*E101)</f>
        <v/>
      </c>
    </row>
    <row r="102" spans="1:6" ht="14.25" thickTop="1" thickBot="1">
      <c r="A102" s="134" t="s">
        <v>165</v>
      </c>
      <c r="B102" s="135">
        <f>B68+B83+B89+B96+B100</f>
        <v>325500</v>
      </c>
      <c r="C102" s="135"/>
      <c r="D102" s="135">
        <f>D68+D83+D89+D96+D100</f>
        <v>264400</v>
      </c>
      <c r="E102" s="158"/>
      <c r="F102" s="157">
        <f>F68+F83+F89+F96+F100</f>
        <v>180250</v>
      </c>
    </row>
    <row r="103" spans="1:6" ht="13.5" thickTop="1"/>
  </sheetData>
  <mergeCells count="1">
    <mergeCell ref="A1:F1"/>
  </mergeCells>
  <phoneticPr fontId="0" type="noConversion"/>
  <pageMargins left="0.94" right="0.15748031496062992" top="0.45" bottom="0.5" header="0.27" footer="0.3"/>
  <pageSetup paperSize="9" scale="90" fitToHeight="2" orientation="portrait" horizontalDpi="400" verticalDpi="300" r:id="rId1"/>
  <headerFooter alignWithMargins="0">
    <oddFooter>&amp;L&amp;P</oddFooter>
  </headerFooter>
  <rowBreaks count="1" manualBreakCount="1">
    <brk id="58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2"/>
  <sheetViews>
    <sheetView topLeftCell="A37" zoomScale="145" zoomScaleNormal="145" workbookViewId="0">
      <selection activeCell="C40" sqref="C40"/>
    </sheetView>
  </sheetViews>
  <sheetFormatPr baseColWidth="10" defaultColWidth="11.42578125" defaultRowHeight="12.75"/>
  <cols>
    <col min="1" max="1" width="36" style="51" customWidth="1"/>
    <col min="2" max="2" width="9.7109375" style="51" customWidth="1"/>
    <col min="3" max="3" width="22.7109375" style="51" customWidth="1"/>
    <col min="4" max="4" width="16.7109375" style="255" customWidth="1"/>
    <col min="5" max="5" width="13.7109375" style="51" bestFit="1" customWidth="1"/>
    <col min="6" max="6" width="8.140625" style="51" customWidth="1"/>
    <col min="7" max="16384" width="11.42578125" style="51"/>
  </cols>
  <sheetData>
    <row r="1" spans="1:6" ht="18">
      <c r="A1" s="354" t="s">
        <v>243</v>
      </c>
      <c r="B1" s="355"/>
      <c r="C1" s="355"/>
      <c r="D1" s="356"/>
    </row>
    <row r="2" spans="1:6">
      <c r="A2" s="33"/>
    </row>
    <row r="3" spans="1:6">
      <c r="A3" s="5" t="s">
        <v>17</v>
      </c>
      <c r="B3" s="295">
        <f>Jahresdaten!C3</f>
        <v>2021</v>
      </c>
    </row>
    <row r="7" spans="1:6">
      <c r="B7" s="51" t="s">
        <v>4</v>
      </c>
      <c r="C7" s="128"/>
    </row>
    <row r="8" spans="1:6" ht="18" customHeight="1">
      <c r="A8" s="51" t="s">
        <v>58</v>
      </c>
      <c r="C8" s="129">
        <f>Personalkosten!$J$24</f>
        <v>448360.1</v>
      </c>
    </row>
    <row r="9" spans="1:6" ht="18" customHeight="1">
      <c r="A9" s="51" t="s">
        <v>54</v>
      </c>
      <c r="C9" s="129">
        <f>'Kostenarten Werkstatt'!$F$102</f>
        <v>180250</v>
      </c>
    </row>
    <row r="10" spans="1:6" ht="18" customHeight="1">
      <c r="A10" s="2" t="s">
        <v>59</v>
      </c>
      <c r="C10" s="129">
        <f>SUM(C8:C9)</f>
        <v>628610.1</v>
      </c>
      <c r="E10" s="338">
        <f>C10/C8</f>
        <v>1.4020206079889803</v>
      </c>
      <c r="F10" s="2" t="s">
        <v>263</v>
      </c>
    </row>
    <row r="12" spans="1:6">
      <c r="B12" s="119" t="s">
        <v>4</v>
      </c>
      <c r="C12" s="128" t="s">
        <v>17</v>
      </c>
    </row>
    <row r="13" spans="1:6" ht="18" customHeight="1">
      <c r="A13" s="51" t="s">
        <v>99</v>
      </c>
      <c r="C13" s="129">
        <f>'Stundenleistung-Werkstatt'!$M$24</f>
        <v>6156.7239999999993</v>
      </c>
    </row>
    <row r="15" spans="1:6">
      <c r="A15" s="1" t="s">
        <v>4</v>
      </c>
      <c r="C15" s="54"/>
      <c r="D15" s="257" t="s">
        <v>248</v>
      </c>
      <c r="E15" s="352" t="s">
        <v>250</v>
      </c>
      <c r="F15" s="353"/>
    </row>
    <row r="16" spans="1:6" ht="18" customHeight="1">
      <c r="A16" s="51" t="s">
        <v>100</v>
      </c>
      <c r="C16" s="129">
        <f>C10/C13</f>
        <v>102.10139353331415</v>
      </c>
      <c r="D16" s="129">
        <f>C16*C13</f>
        <v>628610.1</v>
      </c>
      <c r="E16" s="255"/>
    </row>
    <row r="17" spans="1:5">
      <c r="A17" s="3" t="s">
        <v>101</v>
      </c>
      <c r="E17" s="255"/>
    </row>
    <row r="18" spans="1:5">
      <c r="A18" s="3"/>
      <c r="E18" s="255"/>
    </row>
    <row r="19" spans="1:5">
      <c r="A19" s="3"/>
      <c r="E19" s="255"/>
    </row>
    <row r="20" spans="1:5">
      <c r="A20" s="3"/>
      <c r="E20" s="255"/>
    </row>
    <row r="21" spans="1:5">
      <c r="B21" s="130"/>
      <c r="E21" s="255"/>
    </row>
    <row r="22" spans="1:5" ht="18" customHeight="1">
      <c r="A22" s="51" t="s">
        <v>166</v>
      </c>
      <c r="B22" s="29">
        <v>10</v>
      </c>
      <c r="C22" s="256">
        <f>C16*B22/100</f>
        <v>10.210139353331416</v>
      </c>
      <c r="D22" s="129">
        <f>C22*C13</f>
        <v>62861.009999999995</v>
      </c>
      <c r="E22" s="255"/>
    </row>
    <row r="23" spans="1:5" ht="18" customHeight="1">
      <c r="C23" s="55"/>
      <c r="E23" s="255"/>
    </row>
    <row r="24" spans="1:5" ht="18" customHeight="1">
      <c r="A24" s="2" t="s">
        <v>247</v>
      </c>
      <c r="B24" s="2"/>
      <c r="C24" s="290">
        <f>C16+C22</f>
        <v>112.31153288664557</v>
      </c>
      <c r="D24" s="291">
        <f>C24*C13</f>
        <v>691471.11</v>
      </c>
      <c r="E24" s="255"/>
    </row>
    <row r="25" spans="1:5" ht="18" customHeight="1">
      <c r="C25" s="55"/>
      <c r="D25" s="55"/>
      <c r="E25" s="255"/>
    </row>
    <row r="26" spans="1:5" ht="18" customHeight="1">
      <c r="A26" s="51" t="s">
        <v>92</v>
      </c>
      <c r="B26" s="29">
        <v>7.7</v>
      </c>
      <c r="C26" s="129">
        <f>C24/100*B26</f>
        <v>8.6479880322717086</v>
      </c>
      <c r="D26" s="129">
        <f>C26*C13</f>
        <v>53243.275469999993</v>
      </c>
      <c r="E26" s="255"/>
    </row>
    <row r="27" spans="1:5" ht="18" customHeight="1">
      <c r="C27" s="55"/>
      <c r="D27" s="55"/>
      <c r="E27" s="255"/>
    </row>
    <row r="28" spans="1:5" ht="18" customHeight="1">
      <c r="A28" s="51" t="s">
        <v>255</v>
      </c>
      <c r="C28" s="129">
        <f>C24+C26</f>
        <v>120.95952091891728</v>
      </c>
      <c r="D28" s="129">
        <f>D24+D26</f>
        <v>744714.38546999998</v>
      </c>
      <c r="E28" s="255"/>
    </row>
    <row r="29" spans="1:5" ht="18" customHeight="1">
      <c r="C29" s="55"/>
      <c r="D29" s="55"/>
      <c r="E29" s="255"/>
    </row>
    <row r="30" spans="1:5" ht="18" customHeight="1">
      <c r="A30" s="51" t="s">
        <v>254</v>
      </c>
      <c r="B30" s="29">
        <v>2</v>
      </c>
      <c r="C30" s="129">
        <f>C28/(100-B30)*B30</f>
        <v>2.4685616514064752</v>
      </c>
      <c r="D30" s="129">
        <f>C30*C13</f>
        <v>15198.252764693878</v>
      </c>
      <c r="E30" s="255"/>
    </row>
    <row r="31" spans="1:5" ht="18" customHeight="1">
      <c r="C31" s="55"/>
      <c r="D31" s="55"/>
      <c r="E31" s="255"/>
    </row>
    <row r="32" spans="1:5" ht="18" customHeight="1">
      <c r="A32" s="51" t="s">
        <v>256</v>
      </c>
      <c r="C32" s="129">
        <f>C28+C30</f>
        <v>123.42808257032375</v>
      </c>
      <c r="D32" s="129">
        <f>D28+D30</f>
        <v>759912.63823469391</v>
      </c>
      <c r="E32" s="255"/>
    </row>
    <row r="33" spans="1:5" ht="18" customHeight="1">
      <c r="C33" s="55"/>
      <c r="E33" s="255"/>
    </row>
    <row r="34" spans="1:5">
      <c r="A34" s="51" t="s">
        <v>167</v>
      </c>
      <c r="B34" s="29">
        <v>5</v>
      </c>
      <c r="C34" s="256">
        <f>C32*B34/(100-B34)</f>
        <v>6.4962148721223025</v>
      </c>
      <c r="D34" s="129">
        <f>C34*C13</f>
        <v>39995.402012352308</v>
      </c>
      <c r="E34" s="255"/>
    </row>
    <row r="35" spans="1:5" ht="15.75">
      <c r="B35" s="4"/>
      <c r="E35" s="255"/>
    </row>
    <row r="36" spans="1:5" ht="18" customHeight="1">
      <c r="A36" s="213" t="s">
        <v>257</v>
      </c>
      <c r="B36" s="212" t="s">
        <v>60</v>
      </c>
      <c r="C36" s="293">
        <f>C32+C34</f>
        <v>129.92429744244606</v>
      </c>
      <c r="D36" s="129">
        <f>C36*C13</f>
        <v>799908.04024704616</v>
      </c>
      <c r="E36" s="129">
        <f>C39*C13</f>
        <v>671082.91599999997</v>
      </c>
    </row>
    <row r="37" spans="1:5" ht="15.75">
      <c r="B37" s="4"/>
      <c r="E37" s="255"/>
    </row>
    <row r="38" spans="1:5" ht="21.75" customHeight="1"/>
    <row r="39" spans="1:5" ht="18">
      <c r="A39" s="2" t="s">
        <v>249</v>
      </c>
      <c r="C39" s="206">
        <v>109</v>
      </c>
    </row>
    <row r="41" spans="1:5" ht="18">
      <c r="A41" s="2" t="s">
        <v>253</v>
      </c>
      <c r="C41" s="292">
        <f>C39/100*(100+B26)</f>
        <v>117.39300000000001</v>
      </c>
    </row>
    <row r="46" spans="1:5" ht="18" customHeight="1"/>
    <row r="47" spans="1:5" ht="18" customHeight="1"/>
    <row r="49" ht="18" customHeight="1"/>
    <row r="52" ht="15.95" customHeight="1"/>
  </sheetData>
  <mergeCells count="2">
    <mergeCell ref="E15:F15"/>
    <mergeCell ref="A1:D1"/>
  </mergeCells>
  <phoneticPr fontId="0" type="noConversion"/>
  <pageMargins left="0.78740157499999996" right="0.16" top="0.76" bottom="0.7" header="0.4921259845" footer="0.4921259845"/>
  <pageSetup paperSize="9" scale="9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0"/>
  <sheetViews>
    <sheetView topLeftCell="D17" zoomScale="160" zoomScaleNormal="160" zoomScaleSheetLayoutView="100" workbookViewId="0">
      <selection activeCell="E29" sqref="E29"/>
    </sheetView>
  </sheetViews>
  <sheetFormatPr baseColWidth="10" defaultColWidth="9.42578125" defaultRowHeight="12.75"/>
  <cols>
    <col min="1" max="1" width="8.7109375" style="162" customWidth="1"/>
    <col min="2" max="2" width="23.140625" style="162" customWidth="1"/>
    <col min="3" max="3" width="15.42578125" style="162" customWidth="1"/>
    <col min="4" max="4" width="13.28515625" style="163" customWidth="1"/>
    <col min="5" max="5" width="11.85546875" style="163" customWidth="1"/>
    <col min="6" max="6" width="10.42578125" style="164" customWidth="1"/>
    <col min="7" max="7" width="11.28515625" style="164" customWidth="1"/>
    <col min="8" max="8" width="10" style="164" bestFit="1" customWidth="1"/>
    <col min="9" max="9" width="11.42578125" style="165" customWidth="1"/>
    <col min="10" max="10" width="14.28515625" style="166" customWidth="1"/>
    <col min="11" max="11" width="9.42578125" style="170" customWidth="1"/>
    <col min="12" max="12" width="12.42578125" style="168" customWidth="1"/>
    <col min="13" max="13" width="18.5703125" style="169" customWidth="1"/>
    <col min="14" max="16384" width="9.42578125" style="170"/>
  </cols>
  <sheetData>
    <row r="1" spans="1:13" ht="33.75" customHeight="1">
      <c r="A1" s="161" t="s">
        <v>245</v>
      </c>
      <c r="K1" s="167"/>
    </row>
    <row r="2" spans="1:13" ht="6" customHeight="1" thickBot="1">
      <c r="A2" s="171"/>
      <c r="K2" s="167"/>
    </row>
    <row r="3" spans="1:13" s="172" customFormat="1" ht="78" customHeight="1" thickTop="1" thickBot="1">
      <c r="A3" s="281" t="s">
        <v>12</v>
      </c>
      <c r="B3" s="282" t="s">
        <v>16</v>
      </c>
      <c r="C3" s="282" t="s">
        <v>169</v>
      </c>
      <c r="D3" s="283" t="s">
        <v>252</v>
      </c>
      <c r="E3" s="283" t="s">
        <v>194</v>
      </c>
      <c r="F3" s="284" t="s">
        <v>170</v>
      </c>
      <c r="G3" s="284" t="s">
        <v>171</v>
      </c>
      <c r="H3" s="284" t="s">
        <v>172</v>
      </c>
      <c r="I3" s="285" t="s">
        <v>173</v>
      </c>
      <c r="J3" s="286" t="s">
        <v>174</v>
      </c>
      <c r="K3" s="284" t="s">
        <v>175</v>
      </c>
      <c r="L3" s="287" t="s">
        <v>176</v>
      </c>
      <c r="M3" s="288" t="s">
        <v>177</v>
      </c>
    </row>
    <row r="4" spans="1:13" s="167" customFormat="1" ht="11.25" customHeight="1" thickTop="1">
      <c r="A4" s="173"/>
      <c r="B4" s="173"/>
      <c r="C4" s="174"/>
      <c r="D4" s="174"/>
      <c r="E4" s="174"/>
      <c r="F4" s="175"/>
      <c r="G4" s="202"/>
      <c r="H4" s="175"/>
      <c r="I4" s="176"/>
      <c r="J4" s="177"/>
      <c r="L4" s="178"/>
      <c r="M4" s="179"/>
    </row>
    <row r="5" spans="1:13" s="167" customFormat="1" ht="12" customHeight="1">
      <c r="A5" s="296" t="str">
        <f>'Stundenleistung-Werkstatt'!B9</f>
        <v>WE</v>
      </c>
      <c r="B5" s="297" t="str">
        <f>'Stundenleistung-Werkstatt'!A9</f>
        <v>Gerd Mechanikus</v>
      </c>
      <c r="C5" s="298">
        <f>Personalkosten!H9</f>
        <v>95600</v>
      </c>
      <c r="D5" s="299">
        <f>'Stundenleistung-Werkstatt'!J9</f>
        <v>0.5</v>
      </c>
      <c r="E5" s="300">
        <f>+C5*D5</f>
        <v>47800</v>
      </c>
      <c r="F5" s="301">
        <f>'Stundenleistung-Werkstatt'!K9</f>
        <v>934.8</v>
      </c>
      <c r="G5" s="302">
        <f>'Stundenleistung-Werkstatt'!L9</f>
        <v>30</v>
      </c>
      <c r="H5" s="303">
        <f>F5*G5/100</f>
        <v>280.44</v>
      </c>
      <c r="I5" s="304">
        <f>'SVS Kalkulation'!$C$24</f>
        <v>112.31153288664557</v>
      </c>
      <c r="J5" s="305">
        <f>+H5*I5</f>
        <v>31496.646282730882</v>
      </c>
      <c r="K5" s="306">
        <f t="shared" ref="K5:K12" si="0">+J5/E5</f>
        <v>0.65892565445043683</v>
      </c>
      <c r="L5" s="307">
        <f t="shared" ref="L5:L12" si="1">+(J5-E5)/J5</f>
        <v>-0.51762189443667816</v>
      </c>
      <c r="M5" s="308" t="str">
        <f>+IF(L5&lt;50%,"Besondere Situation",IF(L5&lt;55%,"nicht schlecht",IF(L5&lt;60%,"Wäre gut!","Wäre eine Freude!")))</f>
        <v>Besondere Situation</v>
      </c>
    </row>
    <row r="6" spans="1:13" ht="12" customHeight="1">
      <c r="A6" s="296" t="str">
        <f>'Stundenleistung-Werkstatt'!B10</f>
        <v>ME</v>
      </c>
      <c r="B6" s="297" t="str">
        <f>'Stundenleistung-Werkstatt'!A10</f>
        <v>Fritz Schrauber</v>
      </c>
      <c r="C6" s="298">
        <f>Personalkosten!H10</f>
        <v>76275</v>
      </c>
      <c r="D6" s="299">
        <f>'Stundenleistung-Werkstatt'!J10</f>
        <v>0.8</v>
      </c>
      <c r="E6" s="300">
        <f t="shared" ref="E6:E12" si="2">+C6*D6</f>
        <v>61020</v>
      </c>
      <c r="F6" s="301">
        <f>'Stundenleistung-Werkstatt'!K10</f>
        <v>1443.1999999999998</v>
      </c>
      <c r="G6" s="302">
        <f>'Stundenleistung-Werkstatt'!L10</f>
        <v>70</v>
      </c>
      <c r="H6" s="303">
        <f t="shared" ref="H6:H11" si="3">F6*G6/100</f>
        <v>1010.2399999999999</v>
      </c>
      <c r="I6" s="304">
        <f>'SVS Kalkulation'!$C$24</f>
        <v>112.31153288664557</v>
      </c>
      <c r="J6" s="305">
        <f t="shared" ref="J6:J12" si="4">+H6*I6</f>
        <v>113461.60298340481</v>
      </c>
      <c r="K6" s="306">
        <f t="shared" si="0"/>
        <v>1.8594166336185645</v>
      </c>
      <c r="L6" s="307">
        <f t="shared" si="1"/>
        <v>0.46219691600051743</v>
      </c>
      <c r="M6" s="308" t="str">
        <f t="shared" ref="M6:M12" si="5">+IF(L6&lt;50%,"Besondere Situation",IF(L6&lt;55%,"nicht schlecht",IF(L6&lt;60%,"Wäre gut!","Wäre eine Freude!")))</f>
        <v>Besondere Situation</v>
      </c>
    </row>
    <row r="7" spans="1:13" ht="12" customHeight="1">
      <c r="A7" s="296" t="str">
        <f>'Stundenleistung-Werkstatt'!B11</f>
        <v>EL</v>
      </c>
      <c r="B7" s="297" t="str">
        <f>'Stundenleistung-Werkstatt'!A11</f>
        <v>Hans Kurzer</v>
      </c>
      <c r="C7" s="298">
        <f>Personalkosten!H11</f>
        <v>72772</v>
      </c>
      <c r="D7" s="299">
        <f>'Stundenleistung-Werkstatt'!J11</f>
        <v>0.8</v>
      </c>
      <c r="E7" s="300">
        <f t="shared" si="2"/>
        <v>58217.600000000006</v>
      </c>
      <c r="F7" s="301">
        <f>'Stundenleistung-Werkstatt'!K11</f>
        <v>1233.28</v>
      </c>
      <c r="G7" s="302">
        <f>'Stundenleistung-Werkstatt'!L11</f>
        <v>90</v>
      </c>
      <c r="H7" s="303">
        <f t="shared" si="3"/>
        <v>1109.952</v>
      </c>
      <c r="I7" s="304">
        <f>'SVS Kalkulation'!$C$24</f>
        <v>112.31153288664557</v>
      </c>
      <c r="J7" s="305">
        <f t="shared" si="4"/>
        <v>124660.41055059801</v>
      </c>
      <c r="K7" s="306">
        <f t="shared" si="0"/>
        <v>2.1412839167296145</v>
      </c>
      <c r="L7" s="307">
        <f t="shared" si="1"/>
        <v>0.53299046792108673</v>
      </c>
      <c r="M7" s="308" t="str">
        <f t="shared" si="5"/>
        <v>nicht schlecht</v>
      </c>
    </row>
    <row r="8" spans="1:13" ht="12" customHeight="1">
      <c r="A8" s="296" t="str">
        <f>'Stundenleistung-Werkstatt'!B12</f>
        <v>MO</v>
      </c>
      <c r="B8" s="297" t="str">
        <f>'Stundenleistung-Werkstatt'!A12</f>
        <v>Walter Wechsler</v>
      </c>
      <c r="C8" s="298">
        <f>Personalkosten!H12</f>
        <v>68365</v>
      </c>
      <c r="D8" s="299">
        <f>'Stundenleistung-Werkstatt'!J12</f>
        <v>0.8</v>
      </c>
      <c r="E8" s="300">
        <f t="shared" si="2"/>
        <v>54692</v>
      </c>
      <c r="F8" s="301">
        <f>'Stundenleistung-Werkstatt'!K12</f>
        <v>1495.68</v>
      </c>
      <c r="G8" s="302">
        <f>'Stundenleistung-Werkstatt'!L12</f>
        <v>90</v>
      </c>
      <c r="H8" s="303">
        <f t="shared" si="3"/>
        <v>1346.1120000000001</v>
      </c>
      <c r="I8" s="304">
        <f>'SVS Kalkulation'!$C$24</f>
        <v>112.31153288664557</v>
      </c>
      <c r="J8" s="305">
        <f t="shared" si="4"/>
        <v>151183.90215710824</v>
      </c>
      <c r="K8" s="306">
        <f t="shared" si="0"/>
        <v>2.764278178839835</v>
      </c>
      <c r="L8" s="307">
        <f t="shared" si="1"/>
        <v>0.6382419079038929</v>
      </c>
      <c r="M8" s="308" t="str">
        <f t="shared" si="5"/>
        <v>Wäre eine Freude!</v>
      </c>
    </row>
    <row r="9" spans="1:13" ht="12" customHeight="1">
      <c r="A9" s="296" t="str">
        <f>'Stundenleistung-Werkstatt'!B13</f>
        <v>HK</v>
      </c>
      <c r="B9" s="297" t="str">
        <f>'Stundenleistung-Werkstatt'!A13</f>
        <v>Peter Blitzblank</v>
      </c>
      <c r="C9" s="298">
        <f>Personalkosten!H13</f>
        <v>61359</v>
      </c>
      <c r="D9" s="299">
        <f>'Stundenleistung-Werkstatt'!J13</f>
        <v>0.5</v>
      </c>
      <c r="E9" s="300">
        <f t="shared" si="2"/>
        <v>30679.5</v>
      </c>
      <c r="F9" s="301">
        <f>'Stundenleistung-Werkstatt'!K13</f>
        <v>942.99999999999989</v>
      </c>
      <c r="G9" s="302">
        <f>'Stundenleistung-Werkstatt'!L13</f>
        <v>50</v>
      </c>
      <c r="H9" s="303">
        <f t="shared" si="3"/>
        <v>471.49999999999994</v>
      </c>
      <c r="I9" s="304">
        <f>'SVS Kalkulation'!$C$24</f>
        <v>112.31153288664557</v>
      </c>
      <c r="J9" s="305">
        <f t="shared" si="4"/>
        <v>52954.88775605338</v>
      </c>
      <c r="K9" s="306">
        <f t="shared" si="0"/>
        <v>1.7260674964081351</v>
      </c>
      <c r="L9" s="307">
        <f t="shared" si="1"/>
        <v>0.42064838015839312</v>
      </c>
      <c r="M9" s="308" t="str">
        <f t="shared" si="5"/>
        <v>Besondere Situation</v>
      </c>
    </row>
    <row r="10" spans="1:13" ht="12" customHeight="1">
      <c r="A10" s="296" t="str">
        <f>'Stundenleistung-Werkstatt'!B14</f>
        <v>DI</v>
      </c>
      <c r="B10" s="297" t="str">
        <f>'Stundenleistung-Werkstatt'!A14</f>
        <v>Richard Tester</v>
      </c>
      <c r="C10" s="298">
        <f>Personalkosten!H14</f>
        <v>61359</v>
      </c>
      <c r="D10" s="299">
        <f>'Stundenleistung-Werkstatt'!J14</f>
        <v>0.5</v>
      </c>
      <c r="E10" s="300">
        <f t="shared" si="2"/>
        <v>30679.5</v>
      </c>
      <c r="F10" s="301">
        <f>'Stundenleistung-Werkstatt'!K14</f>
        <v>942.99999999999989</v>
      </c>
      <c r="G10" s="302">
        <f>'Stundenleistung-Werkstatt'!L14</f>
        <v>60</v>
      </c>
      <c r="H10" s="303">
        <f t="shared" si="3"/>
        <v>565.79999999999995</v>
      </c>
      <c r="I10" s="304">
        <f>'SVS Kalkulation'!$C$24</f>
        <v>112.31153288664557</v>
      </c>
      <c r="J10" s="305">
        <f t="shared" si="4"/>
        <v>63545.865307264059</v>
      </c>
      <c r="K10" s="306">
        <f t="shared" si="0"/>
        <v>2.071280995689762</v>
      </c>
      <c r="L10" s="307">
        <f t="shared" si="1"/>
        <v>0.51720698346532767</v>
      </c>
      <c r="M10" s="308" t="str">
        <f t="shared" si="5"/>
        <v>nicht schlecht</v>
      </c>
    </row>
    <row r="11" spans="1:13" ht="12" customHeight="1">
      <c r="A11" s="296" t="str">
        <f>'Stundenleistung-Werkstatt'!B15</f>
        <v>LE3</v>
      </c>
      <c r="B11" s="297" t="str">
        <f>'Stundenleistung-Werkstatt'!A15</f>
        <v>Julius Besen</v>
      </c>
      <c r="C11" s="298">
        <f>Personalkosten!H15</f>
        <v>13673</v>
      </c>
      <c r="D11" s="299">
        <f>'Stundenleistung-Werkstatt'!J15</f>
        <v>1</v>
      </c>
      <c r="E11" s="300">
        <f t="shared" si="2"/>
        <v>13673</v>
      </c>
      <c r="F11" s="301">
        <f>'Stundenleistung-Werkstatt'!K15</f>
        <v>1525.1999999999998</v>
      </c>
      <c r="G11" s="302">
        <f>'Stundenleistung-Werkstatt'!L15</f>
        <v>30</v>
      </c>
      <c r="H11" s="303">
        <f t="shared" si="3"/>
        <v>457.55999999999995</v>
      </c>
      <c r="I11" s="304">
        <f>'SVS Kalkulation'!$C$24</f>
        <v>112.31153288664557</v>
      </c>
      <c r="J11" s="305">
        <f t="shared" si="4"/>
        <v>51389.26498761354</v>
      </c>
      <c r="K11" s="306">
        <f t="shared" si="0"/>
        <v>3.7584484010541606</v>
      </c>
      <c r="L11" s="307">
        <f t="shared" si="1"/>
        <v>0.73393275807125025</v>
      </c>
      <c r="M11" s="308" t="str">
        <f t="shared" si="5"/>
        <v>Wäre eine Freude!</v>
      </c>
    </row>
    <row r="12" spans="1:13" ht="12" customHeight="1">
      <c r="A12" s="296" t="str">
        <f>'Stundenleistung-Werkstatt'!B16</f>
        <v>LE4</v>
      </c>
      <c r="B12" s="297" t="str">
        <f>'Stundenleistung-Werkstatt'!A16</f>
        <v>René Hammer</v>
      </c>
      <c r="C12" s="298">
        <f>Personalkosten!$J$16</f>
        <v>15602</v>
      </c>
      <c r="D12" s="299">
        <f>'Stundenleistung-Werkstatt'!$J$16</f>
        <v>1</v>
      </c>
      <c r="E12" s="300">
        <f t="shared" si="2"/>
        <v>15602</v>
      </c>
      <c r="F12" s="301">
        <f>'Stundenleistung-Werkstatt'!K16</f>
        <v>1525.1999999999998</v>
      </c>
      <c r="G12" s="302">
        <f>'Stundenleistung-Werkstatt'!L16</f>
        <v>60</v>
      </c>
      <c r="H12" s="303">
        <f>'Stundenleistung-Werkstatt'!M16</f>
        <v>915.11999999999989</v>
      </c>
      <c r="I12" s="304">
        <f>'SVS Kalkulation'!$C$24</f>
        <v>112.31153288664557</v>
      </c>
      <c r="J12" s="305">
        <f t="shared" si="4"/>
        <v>102778.52997522708</v>
      </c>
      <c r="K12" s="306">
        <f t="shared" si="0"/>
        <v>6.5875227519053379</v>
      </c>
      <c r="L12" s="307">
        <f t="shared" si="1"/>
        <v>0.84819786774766504</v>
      </c>
      <c r="M12" s="308" t="str">
        <f t="shared" si="5"/>
        <v>Wäre eine Freude!</v>
      </c>
    </row>
    <row r="13" spans="1:13" ht="12" customHeight="1">
      <c r="A13" s="298">
        <f>'Stundenleistung-Werkstatt'!B17</f>
        <v>0</v>
      </c>
      <c r="B13" s="309">
        <f>'Stundenleistung-Werkstatt'!A17</f>
        <v>0</v>
      </c>
      <c r="C13" s="298"/>
      <c r="D13" s="299"/>
      <c r="E13" s="300"/>
      <c r="F13" s="301"/>
      <c r="G13" s="310"/>
      <c r="H13" s="303"/>
      <c r="I13" s="311"/>
      <c r="J13" s="305"/>
      <c r="K13" s="306"/>
      <c r="L13" s="307"/>
      <c r="M13" s="308"/>
    </row>
    <row r="14" spans="1:13" ht="12" customHeight="1">
      <c r="A14" s="312">
        <f>'Stundenleistung-Werkstatt'!B18</f>
        <v>0</v>
      </c>
      <c r="B14" s="309">
        <f>'Stundenleistung-Werkstatt'!A18</f>
        <v>0</v>
      </c>
      <c r="C14" s="312"/>
      <c r="D14" s="313"/>
      <c r="E14" s="314"/>
      <c r="F14" s="301"/>
      <c r="G14" s="315"/>
      <c r="H14" s="316"/>
      <c r="I14" s="317"/>
      <c r="J14" s="318"/>
      <c r="K14" s="306"/>
      <c r="L14" s="307"/>
      <c r="M14" s="308"/>
    </row>
    <row r="15" spans="1:13" ht="17.25" customHeight="1">
      <c r="A15" s="312"/>
      <c r="B15" s="312"/>
      <c r="C15" s="312"/>
      <c r="D15" s="313"/>
      <c r="E15" s="314"/>
      <c r="F15" s="301"/>
      <c r="G15" s="332" t="s">
        <v>178</v>
      </c>
      <c r="H15" s="316"/>
      <c r="I15" s="333" t="s">
        <v>178</v>
      </c>
      <c r="J15" s="334"/>
      <c r="K15" s="306"/>
      <c r="L15" s="307"/>
      <c r="M15" s="308"/>
    </row>
    <row r="16" spans="1:13" ht="30" customHeight="1" thickBot="1">
      <c r="A16" s="319" t="s">
        <v>179</v>
      </c>
      <c r="B16" s="320"/>
      <c r="C16" s="321">
        <f>SUM(C5:C14)</f>
        <v>465005</v>
      </c>
      <c r="D16" s="322"/>
      <c r="E16" s="323">
        <f>SUM(E5:E14)</f>
        <v>312363.59999999998</v>
      </c>
      <c r="F16" s="324">
        <f>SUM(F6:F14)</f>
        <v>9108.56</v>
      </c>
      <c r="G16" s="325">
        <f>+H16/F16</f>
        <v>0.67592725963269706</v>
      </c>
      <c r="H16" s="326">
        <f>SUM(H5:H14)</f>
        <v>6156.7239999999993</v>
      </c>
      <c r="I16" s="327">
        <f>+J16/H16</f>
        <v>112.31153288664557</v>
      </c>
      <c r="J16" s="328">
        <f>SUM(J5:J14)</f>
        <v>691471.11</v>
      </c>
      <c r="K16" s="329">
        <f>+J16/E16</f>
        <v>2.2136737763298924</v>
      </c>
      <c r="L16" s="330">
        <f>+(J16-E16)/J16</f>
        <v>0.54826225494800496</v>
      </c>
      <c r="M16" s="331" t="str">
        <f>+IF(L16&lt;50%,"Besondere Situation",IF(L16&lt;55%,"nicht schlecht",IF(L16&lt;60%,"Wäre gut!","Wäre eine Freude!")))</f>
        <v>nicht schlecht</v>
      </c>
    </row>
    <row r="17" spans="1:13" ht="15" customHeight="1" thickTop="1" thickBot="1">
      <c r="J17" s="180"/>
      <c r="K17" s="180"/>
      <c r="L17" s="180"/>
      <c r="M17" s="180"/>
    </row>
    <row r="18" spans="1:13" ht="19.5" customHeight="1" thickTop="1">
      <c r="A18" s="357" t="s">
        <v>180</v>
      </c>
      <c r="B18" s="358"/>
      <c r="C18" s="358"/>
      <c r="D18" s="359"/>
      <c r="E18" s="181"/>
      <c r="F18" s="165"/>
      <c r="G18" s="258" t="s">
        <v>181</v>
      </c>
      <c r="H18" s="259" t="s">
        <v>182</v>
      </c>
      <c r="I18" s="260"/>
      <c r="J18" s="261" t="s">
        <v>183</v>
      </c>
      <c r="K18" s="360" t="s">
        <v>251</v>
      </c>
      <c r="L18" s="361"/>
      <c r="M18" s="361"/>
    </row>
    <row r="19" spans="1:13" ht="19.5" customHeight="1">
      <c r="A19" s="273" t="s">
        <v>184</v>
      </c>
      <c r="B19" s="183" t="s">
        <v>185</v>
      </c>
      <c r="C19" s="182" t="s">
        <v>186</v>
      </c>
      <c r="D19" s="274" t="s">
        <v>187</v>
      </c>
      <c r="E19" s="184"/>
      <c r="F19" s="165"/>
      <c r="G19" s="262">
        <v>1</v>
      </c>
      <c r="H19" s="263">
        <v>7.0000000000000007E-2</v>
      </c>
      <c r="I19" s="264"/>
      <c r="J19" s="265">
        <f t="shared" ref="J19:J30" si="6">+ROUND(H19*$J$16,-1)</f>
        <v>48400</v>
      </c>
      <c r="L19" s="207">
        <f>+ROUND(H19*Unternehmensgewinn!D30,-1)</f>
        <v>46980</v>
      </c>
      <c r="M19" s="170"/>
    </row>
    <row r="20" spans="1:13" ht="19.5" customHeight="1">
      <c r="A20" s="314" t="s">
        <v>188</v>
      </c>
      <c r="B20" s="335">
        <f>VALUE(I16)</f>
        <v>112.31153288664557</v>
      </c>
      <c r="C20" s="336">
        <v>0.35</v>
      </c>
      <c r="D20" s="318">
        <f>+B20*C20</f>
        <v>39.309036510325946</v>
      </c>
      <c r="E20" s="186"/>
      <c r="F20" s="165"/>
      <c r="G20" s="262">
        <v>2</v>
      </c>
      <c r="H20" s="263">
        <v>7.0000000000000007E-2</v>
      </c>
      <c r="I20" s="264"/>
      <c r="J20" s="265">
        <f t="shared" si="6"/>
        <v>48400</v>
      </c>
      <c r="L20" s="207">
        <f>+ROUND(H20*Unternehmensgewinn!D30,-1)</f>
        <v>46980</v>
      </c>
      <c r="M20" s="170"/>
    </row>
    <row r="21" spans="1:13" ht="19.5" customHeight="1">
      <c r="A21" s="314" t="s">
        <v>189</v>
      </c>
      <c r="B21" s="337">
        <v>115</v>
      </c>
      <c r="C21" s="336">
        <v>0.25</v>
      </c>
      <c r="D21" s="318">
        <f>+B21*C21</f>
        <v>28.75</v>
      </c>
      <c r="E21" s="186"/>
      <c r="F21" s="165"/>
      <c r="G21" s="266">
        <v>3</v>
      </c>
      <c r="H21" s="208">
        <v>0.09</v>
      </c>
      <c r="I21" s="188">
        <f>SUM(H19:H21)</f>
        <v>0.23</v>
      </c>
      <c r="J21" s="265">
        <f t="shared" si="6"/>
        <v>62230</v>
      </c>
      <c r="L21" s="207">
        <f>+ROUND(H21*Unternehmensgewinn!D30,-1)</f>
        <v>60400</v>
      </c>
      <c r="M21" s="170"/>
    </row>
    <row r="22" spans="1:13" ht="19.5" customHeight="1">
      <c r="A22" s="314" t="s">
        <v>190</v>
      </c>
      <c r="B22" s="337">
        <v>110</v>
      </c>
      <c r="C22" s="336">
        <v>0.12</v>
      </c>
      <c r="D22" s="318">
        <f>+B22*C22</f>
        <v>13.2</v>
      </c>
      <c r="E22" s="186"/>
      <c r="F22" s="165"/>
      <c r="G22" s="262">
        <v>4</v>
      </c>
      <c r="H22" s="263">
        <v>0.09</v>
      </c>
      <c r="I22" s="267"/>
      <c r="J22" s="265">
        <f t="shared" si="6"/>
        <v>62230</v>
      </c>
      <c r="L22" s="207">
        <f>+ROUND(H22*Unternehmensgewinn!D30,-1)</f>
        <v>60400</v>
      </c>
      <c r="M22" s="170"/>
    </row>
    <row r="23" spans="1:13" ht="19.5" customHeight="1">
      <c r="A23" s="314" t="s">
        <v>191</v>
      </c>
      <c r="B23" s="337">
        <v>100</v>
      </c>
      <c r="C23" s="336">
        <v>0.18</v>
      </c>
      <c r="D23" s="318">
        <f>+B23*C23</f>
        <v>18</v>
      </c>
      <c r="E23" s="186"/>
      <c r="F23" s="165"/>
      <c r="G23" s="262">
        <v>5</v>
      </c>
      <c r="H23" s="263">
        <v>0.11</v>
      </c>
      <c r="I23" s="267"/>
      <c r="J23" s="265">
        <f t="shared" si="6"/>
        <v>76060</v>
      </c>
      <c r="L23" s="207">
        <f>+ROUND(H23*Unternehmensgewinn!D30,-1)</f>
        <v>73820</v>
      </c>
      <c r="M23" s="170"/>
    </row>
    <row r="24" spans="1:13" ht="19.5" customHeight="1">
      <c r="A24" s="314" t="s">
        <v>192</v>
      </c>
      <c r="B24" s="337">
        <v>107</v>
      </c>
      <c r="C24" s="336">
        <v>0.1</v>
      </c>
      <c r="D24" s="318">
        <f>+B24*C24</f>
        <v>10.700000000000001</v>
      </c>
      <c r="E24" s="186"/>
      <c r="F24" s="165"/>
      <c r="G24" s="266">
        <v>6</v>
      </c>
      <c r="H24" s="208">
        <v>0.09</v>
      </c>
      <c r="I24" s="189">
        <f>SUM(H22:H24)</f>
        <v>0.29000000000000004</v>
      </c>
      <c r="J24" s="265">
        <f t="shared" si="6"/>
        <v>62230</v>
      </c>
      <c r="L24" s="207">
        <f>+ROUND(H24*Unternehmensgewinn!D30,-1)</f>
        <v>60400</v>
      </c>
      <c r="M24" s="170"/>
    </row>
    <row r="25" spans="1:13" ht="19.5" customHeight="1" thickBot="1">
      <c r="A25" s="275" t="s">
        <v>193</v>
      </c>
      <c r="B25" s="276"/>
      <c r="C25" s="277">
        <f>SUM(C20:C24)</f>
        <v>0.99999999999999989</v>
      </c>
      <c r="D25" s="278">
        <f>SUM(D20:D24)</f>
        <v>109.95903651032594</v>
      </c>
      <c r="E25" s="190"/>
      <c r="F25" s="165"/>
      <c r="G25" s="262">
        <v>7</v>
      </c>
      <c r="H25" s="263">
        <v>0.05</v>
      </c>
      <c r="I25" s="267"/>
      <c r="J25" s="265">
        <f t="shared" si="6"/>
        <v>34570</v>
      </c>
      <c r="L25" s="207">
        <f>+ROUND(H25*Unternehmensgewinn!D30,-1)</f>
        <v>33550</v>
      </c>
      <c r="M25" s="170"/>
    </row>
    <row r="26" spans="1:13" ht="19.5" customHeight="1" thickTop="1">
      <c r="B26" s="185"/>
      <c r="C26" s="187"/>
      <c r="D26" s="187"/>
      <c r="E26" s="187"/>
      <c r="F26" s="165"/>
      <c r="G26" s="262">
        <v>8</v>
      </c>
      <c r="H26" s="263">
        <v>7.0000000000000007E-2</v>
      </c>
      <c r="I26" s="267"/>
      <c r="J26" s="265">
        <f t="shared" si="6"/>
        <v>48400</v>
      </c>
      <c r="L26" s="207">
        <f>+ROUND(H26*Unternehmensgewinn!D30,-1)</f>
        <v>46980</v>
      </c>
      <c r="M26" s="170"/>
    </row>
    <row r="27" spans="1:13" ht="19.5" customHeight="1">
      <c r="B27" s="185"/>
      <c r="C27" s="187"/>
      <c r="D27" s="187"/>
      <c r="E27" s="187"/>
      <c r="F27" s="165"/>
      <c r="G27" s="266">
        <v>9</v>
      </c>
      <c r="H27" s="208">
        <v>0.09</v>
      </c>
      <c r="I27" s="189">
        <f>SUM(H25:H27)</f>
        <v>0.21000000000000002</v>
      </c>
      <c r="J27" s="265">
        <f t="shared" si="6"/>
        <v>62230</v>
      </c>
      <c r="L27" s="207">
        <f>+ROUND(H27*Unternehmensgewinn!D30,-1)</f>
        <v>60400</v>
      </c>
      <c r="M27" s="170"/>
    </row>
    <row r="28" spans="1:13" ht="19.5" customHeight="1" thickBot="1">
      <c r="B28" s="185"/>
      <c r="C28" s="187"/>
      <c r="D28" s="187"/>
      <c r="E28" s="187"/>
      <c r="F28" s="165"/>
      <c r="G28" s="262">
        <v>10</v>
      </c>
      <c r="H28" s="263">
        <v>0.09</v>
      </c>
      <c r="I28" s="267"/>
      <c r="J28" s="265">
        <f t="shared" si="6"/>
        <v>62230</v>
      </c>
      <c r="L28" s="207">
        <f>+ROUND(H28*Unternehmensgewinn!D30,-1)</f>
        <v>60400</v>
      </c>
      <c r="M28" s="170"/>
    </row>
    <row r="29" spans="1:13" ht="19.5" customHeight="1" thickBot="1">
      <c r="D29" s="203" t="s">
        <v>197</v>
      </c>
      <c r="E29" s="209">
        <f>1/J16*'SVS Kalkulation'!C10</f>
        <v>0.90909090909090917</v>
      </c>
      <c r="F29" s="180"/>
      <c r="G29" s="268">
        <v>11</v>
      </c>
      <c r="H29" s="263">
        <v>0.11</v>
      </c>
      <c r="I29" s="267"/>
      <c r="J29" s="265">
        <f t="shared" si="6"/>
        <v>76060</v>
      </c>
      <c r="L29" s="207">
        <f>+ROUND(H29*Unternehmensgewinn!D30,-1)</f>
        <v>73820</v>
      </c>
      <c r="M29" s="170"/>
    </row>
    <row r="30" spans="1:13" ht="19.5" customHeight="1" thickBot="1">
      <c r="B30" s="185"/>
      <c r="C30" s="187"/>
      <c r="E30" s="187"/>
      <c r="F30" s="180"/>
      <c r="G30" s="269">
        <v>12</v>
      </c>
      <c r="H30" s="270">
        <v>7.0000000000000007E-2</v>
      </c>
      <c r="I30" s="271">
        <f>SUM(H28:H30)</f>
        <v>0.27</v>
      </c>
      <c r="J30" s="272">
        <f t="shared" si="6"/>
        <v>48400</v>
      </c>
      <c r="L30" s="207">
        <f>+ROUND(H30*Unternehmensgewinn!D30,-1)</f>
        <v>46980</v>
      </c>
      <c r="M30" s="170"/>
    </row>
    <row r="31" spans="1:13" ht="19.5" customHeight="1" thickTop="1" thickBot="1">
      <c r="A31" s="192"/>
      <c r="B31" s="193"/>
      <c r="C31" s="187"/>
      <c r="E31" s="187"/>
      <c r="F31" s="180"/>
      <c r="G31" s="180"/>
      <c r="H31" s="170"/>
      <c r="I31" s="168"/>
      <c r="J31" s="169"/>
      <c r="L31" s="280"/>
      <c r="M31" s="170"/>
    </row>
    <row r="32" spans="1:13" ht="19.5" customHeight="1" thickBot="1">
      <c r="D32" s="203" t="s">
        <v>258</v>
      </c>
      <c r="E32" s="210">
        <f>1/L32*'SVS Kalkulation'!C10</f>
        <v>0.93667222958978402</v>
      </c>
      <c r="F32" s="180"/>
      <c r="G32" s="180"/>
      <c r="H32" s="170"/>
      <c r="I32" s="279">
        <f>SUM(H19:H30)</f>
        <v>1</v>
      </c>
      <c r="J32" s="207">
        <f>SUM(J19:J31)</f>
        <v>691440</v>
      </c>
      <c r="L32" s="207">
        <f>SUM(L19:L31)</f>
        <v>671110</v>
      </c>
      <c r="M32" s="170"/>
    </row>
    <row r="33" spans="2:10">
      <c r="B33" s="194"/>
      <c r="C33" s="195"/>
      <c r="D33" s="196"/>
      <c r="E33" s="196"/>
      <c r="F33" s="197"/>
      <c r="G33" s="187"/>
      <c r="H33" s="191"/>
      <c r="I33" s="180"/>
      <c r="J33" s="180"/>
    </row>
    <row r="34" spans="2:10">
      <c r="C34" s="198"/>
      <c r="D34" s="199"/>
      <c r="E34" s="199"/>
      <c r="F34" s="200"/>
    </row>
    <row r="35" spans="2:10">
      <c r="C35" s="198"/>
      <c r="D35" s="199"/>
      <c r="E35" s="199"/>
      <c r="F35" s="200"/>
    </row>
    <row r="36" spans="2:10" ht="20.25">
      <c r="C36" s="192"/>
      <c r="D36" s="192"/>
      <c r="E36" s="192"/>
      <c r="H36" s="201"/>
    </row>
    <row r="39" spans="2:10">
      <c r="J39" s="186"/>
    </row>
    <row r="40" spans="2:10">
      <c r="J40" s="177"/>
    </row>
  </sheetData>
  <mergeCells count="2">
    <mergeCell ref="A18:D18"/>
    <mergeCell ref="K18:M18"/>
  </mergeCells>
  <phoneticPr fontId="0" type="noConversion"/>
  <conditionalFormatting sqref="E29 E32">
    <cfRule type="cellIs" dxfId="0" priority="1" stopIfTrue="1" operator="greaterThanOrEqual">
      <formula>0.9</formula>
    </cfRule>
  </conditionalFormatting>
  <pageMargins left="0.7" right="0.7" top="0.75" bottom="0.75" header="0.3" footer="0.3"/>
  <pageSetup paperSize="9" scale="78" fitToHeight="0" orientation="landscape" r:id="rId1"/>
  <headerFooter alignWithMargins="0"/>
  <rowBreaks count="1" manualBreakCount="1">
    <brk id="3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E49"/>
  <sheetViews>
    <sheetView zoomScaleNormal="100" workbookViewId="0">
      <selection activeCell="D33" sqref="D33"/>
    </sheetView>
  </sheetViews>
  <sheetFormatPr baseColWidth="10" defaultRowHeight="12.75"/>
  <cols>
    <col min="1" max="1" width="4.42578125" customWidth="1"/>
    <col min="2" max="2" width="59.28515625" bestFit="1" customWidth="1"/>
    <col min="3" max="3" width="6.85546875" customWidth="1"/>
    <col min="4" max="4" width="35.7109375" bestFit="1" customWidth="1"/>
    <col min="5" max="5" width="4.85546875" customWidth="1"/>
  </cols>
  <sheetData>
    <row r="2" spans="1:5" ht="35.25">
      <c r="B2" s="161" t="s">
        <v>244</v>
      </c>
      <c r="C2" s="161"/>
    </row>
    <row r="3" spans="1:5" ht="39.75" customHeight="1"/>
    <row r="4" spans="1:5" ht="16.5" customHeight="1">
      <c r="A4" s="236"/>
      <c r="B4" s="237"/>
      <c r="C4" s="237"/>
      <c r="D4" s="237"/>
      <c r="E4" s="238"/>
    </row>
    <row r="5" spans="1:5" ht="23.25">
      <c r="A5" s="239"/>
      <c r="B5" s="249" t="s">
        <v>226</v>
      </c>
      <c r="C5" s="240"/>
      <c r="D5" s="240"/>
      <c r="E5" s="241"/>
    </row>
    <row r="6" spans="1:5">
      <c r="A6" s="239"/>
      <c r="B6" s="240"/>
      <c r="C6" s="240"/>
      <c r="D6" s="240"/>
      <c r="E6" s="241"/>
    </row>
    <row r="7" spans="1:5" ht="18">
      <c r="A7" s="239"/>
      <c r="B7" s="228" t="s">
        <v>199</v>
      </c>
      <c r="C7" s="228"/>
      <c r="D7" s="205">
        <f>'SVS Kalkulation'!D36</f>
        <v>799908.04024704616</v>
      </c>
      <c r="E7" s="241"/>
    </row>
    <row r="8" spans="1:5" ht="18">
      <c r="A8" s="239"/>
      <c r="B8" s="228" t="s">
        <v>221</v>
      </c>
      <c r="C8" s="228"/>
      <c r="D8" s="205">
        <f>'SVS Kalkulation'!D34</f>
        <v>39995.402012352308</v>
      </c>
      <c r="E8" s="241"/>
    </row>
    <row r="9" spans="1:5" ht="18">
      <c r="A9" s="239"/>
      <c r="B9" s="228" t="s">
        <v>203</v>
      </c>
      <c r="C9" s="228"/>
      <c r="D9" s="205">
        <f>'SVS Kalkulation'!D16</f>
        <v>628610.1</v>
      </c>
      <c r="E9" s="241"/>
    </row>
    <row r="10" spans="1:5" ht="18">
      <c r="A10" s="239"/>
      <c r="B10" s="229" t="s">
        <v>204</v>
      </c>
      <c r="C10" s="230"/>
      <c r="D10" s="232">
        <f>D7-D9-D8</f>
        <v>131302.53823469387</v>
      </c>
      <c r="E10" s="241"/>
    </row>
    <row r="11" spans="1:5" ht="18">
      <c r="A11" s="239"/>
      <c r="B11" s="228"/>
      <c r="C11" s="228"/>
      <c r="D11" s="205"/>
      <c r="E11" s="241"/>
    </row>
    <row r="12" spans="1:5" ht="18">
      <c r="A12" s="239"/>
      <c r="B12" s="228"/>
      <c r="C12" s="228"/>
      <c r="D12" s="205"/>
      <c r="E12" s="241"/>
    </row>
    <row r="13" spans="1:5" ht="18">
      <c r="A13" s="239"/>
      <c r="B13" s="228"/>
      <c r="C13" s="228"/>
      <c r="D13" s="205"/>
      <c r="E13" s="241"/>
    </row>
    <row r="14" spans="1:5" ht="18">
      <c r="A14" s="239"/>
      <c r="B14" s="228" t="s">
        <v>201</v>
      </c>
      <c r="C14" s="228"/>
      <c r="D14" s="289">
        <v>700000</v>
      </c>
      <c r="E14" s="241"/>
    </row>
    <row r="15" spans="1:5" ht="18">
      <c r="A15" s="239"/>
      <c r="B15" s="228" t="s">
        <v>222</v>
      </c>
      <c r="C15" s="228"/>
      <c r="D15" s="289">
        <v>36000</v>
      </c>
      <c r="E15" s="241"/>
    </row>
    <row r="16" spans="1:5" ht="18">
      <c r="A16" s="239"/>
      <c r="B16" s="228" t="s">
        <v>200</v>
      </c>
      <c r="C16" s="228"/>
      <c r="D16" s="289">
        <v>595000</v>
      </c>
      <c r="E16" s="241"/>
    </row>
    <row r="17" spans="1:5" ht="18">
      <c r="A17" s="239"/>
      <c r="B17" s="228" t="s">
        <v>223</v>
      </c>
      <c r="C17" s="228"/>
      <c r="D17" s="289">
        <v>10000</v>
      </c>
      <c r="E17" s="241"/>
    </row>
    <row r="18" spans="1:5" ht="18">
      <c r="A18" s="239"/>
      <c r="B18" s="229" t="s">
        <v>205</v>
      </c>
      <c r="C18" s="230"/>
      <c r="D18" s="232">
        <f>D14-D15-D16-D17</f>
        <v>59000</v>
      </c>
      <c r="E18" s="241"/>
    </row>
    <row r="19" spans="1:5" ht="18">
      <c r="A19" s="239"/>
      <c r="B19" s="228"/>
      <c r="C19" s="228"/>
      <c r="D19" s="205"/>
      <c r="E19" s="241"/>
    </row>
    <row r="20" spans="1:5" ht="23.25">
      <c r="A20" s="239"/>
      <c r="B20" s="233" t="s">
        <v>224</v>
      </c>
      <c r="C20" s="234"/>
      <c r="D20" s="235">
        <f>D10+D18</f>
        <v>190302.53823469387</v>
      </c>
      <c r="E20" s="241"/>
    </row>
    <row r="21" spans="1:5">
      <c r="A21" s="239"/>
      <c r="B21" s="240"/>
      <c r="C21" s="240"/>
      <c r="D21" s="240"/>
      <c r="E21" s="241"/>
    </row>
    <row r="22" spans="1:5" ht="18">
      <c r="A22" s="239"/>
      <c r="B22" s="228" t="s">
        <v>225</v>
      </c>
      <c r="C22" s="240"/>
      <c r="D22" s="289">
        <v>15000</v>
      </c>
      <c r="E22" s="241"/>
    </row>
    <row r="23" spans="1:5" ht="18">
      <c r="A23" s="239"/>
      <c r="B23" s="228"/>
      <c r="C23" s="240"/>
      <c r="D23" s="240"/>
      <c r="E23" s="241"/>
    </row>
    <row r="24" spans="1:5" ht="23.25">
      <c r="A24" s="239"/>
      <c r="B24" s="246" t="s">
        <v>202</v>
      </c>
      <c r="C24" s="247"/>
      <c r="D24" s="248">
        <f>SUM(D20:D23)</f>
        <v>205302.53823469387</v>
      </c>
      <c r="E24" s="241"/>
    </row>
    <row r="25" spans="1:5" ht="18">
      <c r="A25" s="242"/>
      <c r="B25" s="243"/>
      <c r="C25" s="244"/>
      <c r="D25" s="244"/>
      <c r="E25" s="245"/>
    </row>
    <row r="26" spans="1:5" ht="46.5" customHeight="1">
      <c r="B26" s="204"/>
    </row>
    <row r="27" spans="1:5" ht="18">
      <c r="A27" s="236"/>
      <c r="B27" s="250"/>
      <c r="C27" s="237"/>
      <c r="D27" s="237"/>
      <c r="E27" s="238"/>
    </row>
    <row r="28" spans="1:5" ht="23.25">
      <c r="A28" s="239"/>
      <c r="B28" s="249" t="s">
        <v>208</v>
      </c>
      <c r="C28" s="240"/>
      <c r="D28" s="240"/>
      <c r="E28" s="241"/>
    </row>
    <row r="29" spans="1:5">
      <c r="A29" s="239"/>
      <c r="B29" s="240"/>
      <c r="C29" s="240"/>
      <c r="D29" s="240"/>
      <c r="E29" s="241"/>
    </row>
    <row r="30" spans="1:5" ht="18">
      <c r="A30" s="239"/>
      <c r="B30" s="228" t="s">
        <v>207</v>
      </c>
      <c r="C30" s="228"/>
      <c r="D30" s="205">
        <f>'SVS Kalkulation'!E36</f>
        <v>671082.91599999997</v>
      </c>
      <c r="E30" s="241"/>
    </row>
    <row r="31" spans="1:5" ht="18">
      <c r="A31" s="239"/>
      <c r="B31" s="228" t="s">
        <v>221</v>
      </c>
      <c r="C31" s="228"/>
      <c r="D31" s="205">
        <f>'SVS Kalkulation'!$C$13*'SVS Kalkulation'!C34</f>
        <v>39995.402012352308</v>
      </c>
      <c r="E31" s="241"/>
    </row>
    <row r="32" spans="1:5" ht="18">
      <c r="A32" s="239"/>
      <c r="B32" s="228" t="s">
        <v>203</v>
      </c>
      <c r="C32" s="228"/>
      <c r="D32" s="205">
        <f>'SVS Kalkulation'!$C$10</f>
        <v>628610.1</v>
      </c>
      <c r="E32" s="241"/>
    </row>
    <row r="33" spans="1:5" ht="18">
      <c r="A33" s="239"/>
      <c r="B33" s="229" t="s">
        <v>204</v>
      </c>
      <c r="C33" s="230"/>
      <c r="D33" s="232">
        <f>D30-D32-D31</f>
        <v>2477.4139876476838</v>
      </c>
      <c r="E33" s="241"/>
    </row>
    <row r="34" spans="1:5" ht="18">
      <c r="A34" s="239"/>
      <c r="B34" s="228"/>
      <c r="C34" s="228"/>
      <c r="D34" s="205"/>
      <c r="E34" s="241"/>
    </row>
    <row r="35" spans="1:5" ht="18">
      <c r="A35" s="239"/>
      <c r="B35" s="228"/>
      <c r="C35" s="228"/>
      <c r="D35" s="205"/>
      <c r="E35" s="241"/>
    </row>
    <row r="36" spans="1:5" ht="18">
      <c r="A36" s="239"/>
      <c r="B36" s="228"/>
      <c r="C36" s="228"/>
      <c r="D36" s="205"/>
      <c r="E36" s="241"/>
    </row>
    <row r="37" spans="1:5" ht="18">
      <c r="A37" s="239"/>
      <c r="B37" s="228" t="s">
        <v>201</v>
      </c>
      <c r="C37" s="228"/>
      <c r="D37" s="289">
        <v>700000</v>
      </c>
      <c r="E37" s="241"/>
    </row>
    <row r="38" spans="1:5" ht="18">
      <c r="A38" s="239"/>
      <c r="B38" s="228" t="s">
        <v>222</v>
      </c>
      <c r="C38" s="228"/>
      <c r="D38" s="289">
        <v>36000</v>
      </c>
      <c r="E38" s="241"/>
    </row>
    <row r="39" spans="1:5" ht="18">
      <c r="A39" s="239"/>
      <c r="B39" s="228" t="s">
        <v>200</v>
      </c>
      <c r="C39" s="228"/>
      <c r="D39" s="289">
        <v>595000</v>
      </c>
      <c r="E39" s="241"/>
    </row>
    <row r="40" spans="1:5" ht="18">
      <c r="A40" s="239"/>
      <c r="B40" s="228" t="s">
        <v>223</v>
      </c>
      <c r="C40" s="228"/>
      <c r="D40" s="289">
        <v>10000</v>
      </c>
      <c r="E40" s="241"/>
    </row>
    <row r="41" spans="1:5" ht="18">
      <c r="A41" s="239"/>
      <c r="B41" s="229" t="s">
        <v>205</v>
      </c>
      <c r="C41" s="230"/>
      <c r="D41" s="232">
        <f>D37-D38-D39-D40</f>
        <v>59000</v>
      </c>
      <c r="E41" s="241"/>
    </row>
    <row r="42" spans="1:5" ht="18">
      <c r="A42" s="239"/>
      <c r="B42" s="228"/>
      <c r="C42" s="228"/>
      <c r="D42" s="231"/>
      <c r="E42" s="241"/>
    </row>
    <row r="43" spans="1:5" ht="23.25">
      <c r="A43" s="239"/>
      <c r="B43" s="233" t="s">
        <v>224</v>
      </c>
      <c r="C43" s="234"/>
      <c r="D43" s="235">
        <f>D33+D41</f>
        <v>61477.413987647684</v>
      </c>
      <c r="E43" s="241"/>
    </row>
    <row r="44" spans="1:5">
      <c r="A44" s="239"/>
      <c r="B44" s="240"/>
      <c r="C44" s="240"/>
      <c r="D44" s="240"/>
      <c r="E44" s="241"/>
    </row>
    <row r="45" spans="1:5" ht="18">
      <c r="A45" s="239"/>
      <c r="B45" s="228" t="s">
        <v>225</v>
      </c>
      <c r="C45" s="228"/>
      <c r="D45" s="289">
        <v>30000</v>
      </c>
      <c r="E45" s="241"/>
    </row>
    <row r="46" spans="1:5">
      <c r="A46" s="239"/>
      <c r="B46" s="240"/>
      <c r="C46" s="240"/>
      <c r="D46" s="240"/>
      <c r="E46" s="241"/>
    </row>
    <row r="47" spans="1:5">
      <c r="A47" s="239"/>
      <c r="B47" s="240"/>
      <c r="C47" s="240"/>
      <c r="D47" s="240"/>
      <c r="E47" s="241"/>
    </row>
    <row r="48" spans="1:5" ht="23.25">
      <c r="A48" s="239"/>
      <c r="B48" s="246" t="s">
        <v>202</v>
      </c>
      <c r="C48" s="247"/>
      <c r="D48" s="248">
        <f>SUM(D43:D47)</f>
        <v>91477.413987647684</v>
      </c>
      <c r="E48" s="241"/>
    </row>
    <row r="49" spans="1:5">
      <c r="A49" s="242"/>
      <c r="B49" s="244"/>
      <c r="C49" s="244"/>
      <c r="D49" s="244"/>
      <c r="E49" s="245"/>
    </row>
  </sheetData>
  <phoneticPr fontId="0" type="noConversion"/>
  <pageMargins left="0.95" right="0.78740157499999996" top="0.984251969" bottom="0.984251969" header="0.4921259845" footer="0.4921259845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Jahresdaten</vt:lpstr>
      <vt:lpstr>Stundenleistung-Werkstatt</vt:lpstr>
      <vt:lpstr>Personalkosten</vt:lpstr>
      <vt:lpstr>Kostenarten Werkstatt</vt:lpstr>
      <vt:lpstr>SVS Kalkulation</vt:lpstr>
      <vt:lpstr>Potentialberechnung</vt:lpstr>
      <vt:lpstr>Unternehmensgewinn</vt:lpstr>
      <vt:lpstr>Jahresdaten!Druckbereich</vt:lpstr>
      <vt:lpstr>'Kostenarten Werkstatt'!Druckbereich</vt:lpstr>
      <vt:lpstr>Potentialberechnung!Druckbereich</vt:lpstr>
    </vt:vector>
  </TitlesOfParts>
  <Company>Volvo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Weber</dc:creator>
  <cp:lastModifiedBy>Hans</cp:lastModifiedBy>
  <cp:lastPrinted>2011-10-27T14:14:20Z</cp:lastPrinted>
  <dcterms:created xsi:type="dcterms:W3CDTF">1999-09-27T14:43:57Z</dcterms:created>
  <dcterms:modified xsi:type="dcterms:W3CDTF">2020-05-30T11:27:25Z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-1450609153</vt:i4>
  </property>
  <property fmtid="{D5CDD505-2E9C-101B-9397-08002B2CF9AE}" pid="3" name="_EmailSubject">
    <vt:lpwstr>Kalkulationshilfsmittel</vt:lpwstr>
  </property>
  <property fmtid="{D5CDD505-2E9C-101B-9397-08002B2CF9AE}" pid="4" name="_AuthorEmail">
    <vt:lpwstr>kurt.zihlmann@vsci.ch</vt:lpwstr>
  </property>
  <property fmtid="{D5CDD505-2E9C-101B-9397-08002B2CF9AE}" pid="5" name="_AuthorEmailDisplayName">
    <vt:lpwstr>Kurt Zihlmann</vt:lpwstr>
  </property>
  <property fmtid="{D5CDD505-2E9C-101B-9397-08002B2CF9AE}" pid="6" name="_ReviewingToolsShownOnce">
    <vt:lpwstr/>
  </property>
</Properties>
</file>